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drawings/drawing7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ederio\Downloads\"/>
    </mc:Choice>
  </mc:AlternateContent>
  <xr:revisionPtr revIDLastSave="0" documentId="8_{139A2ED0-C0D4-4DE6-8200-1DA3FBCE6018}" xr6:coauthVersionLast="45" xr6:coauthVersionMax="45" xr10:uidLastSave="{00000000-0000-0000-0000-000000000000}"/>
  <bookViews>
    <workbookView xWindow="-120" yWindow="-120" windowWidth="29040" windowHeight="15990" tabRatio="817" activeTab="8" xr2:uid="{00000000-000D-0000-FFFF-FFFF00000000}"/>
  </bookViews>
  <sheets>
    <sheet name="EQUIPES" sheetId="6" r:id="rId1"/>
    <sheet name="BUNDESLIGA" sheetId="1" r:id="rId2"/>
    <sheet name="EVOLUTION CLASS" sheetId="14" r:id="rId3"/>
    <sheet name="LE CALENDRIER " sheetId="2" r:id="rId4"/>
    <sheet name=" GRIS FIXTURE" sheetId="10" r:id="rId5"/>
    <sheet name="STATISTIQUES" sheetId="9" r:id="rId6"/>
    <sheet name="DOM &amp; EXT" sheetId="11" r:id="rId7"/>
    <sheet name="DERNIER RESULTS" sheetId="12" r:id="rId8"/>
    <sheet name="Resultat Journée" sheetId="15" r:id="rId9"/>
    <sheet name="SAISON" sheetId="16" r:id="rId10"/>
    <sheet name=" CHAMPIONNAT" sheetId="4" r:id="rId11"/>
  </sheets>
  <definedNames>
    <definedName name="_">'DERNIER RESULTS'!$Q$2</definedName>
    <definedName name="_xlnm._FilterDatabase" localSheetId="7" hidden="1">'DERNIER RESULTS'!$D$2:$J$875</definedName>
    <definedName name="_xlcn.WorksheetConnection_SaisonB2G1532" hidden="1">SAISON!$B$2:$G$1532</definedName>
    <definedName name="base_donnees">'DERNIER RESULTS'!$C$3:$J$308</definedName>
    <definedName name="base_donnees_2">'DERNIER RESULTS'!$S$4:$Z$37</definedName>
    <definedName name="class">SAISON!$B3:$G1810</definedName>
    <definedName name="domicile_1">BUNDESLIGA!$F$4:$P$12</definedName>
    <definedName name="domicile_10">BUNDESLIGA!$F$103:$P$111</definedName>
    <definedName name="domicile_11">BUNDESLIGA!$F$114:$P$122</definedName>
    <definedName name="domicile_12">BUNDESLIGA!$F$125:$P$133</definedName>
    <definedName name="domicile_13">BUNDESLIGA!$F$136:$P$144</definedName>
    <definedName name="domicile_14">BUNDESLIGA!$F$147:$P$155</definedName>
    <definedName name="domicile_15">BUNDESLIGA!$F$158:$P$166</definedName>
    <definedName name="domicile_16">BUNDESLIGA!$F$169:$P$177</definedName>
    <definedName name="domicile_17">BUNDESLIGA!$F$180:$P$188</definedName>
    <definedName name="domicile_18">BUNDESLIGA!$F$191:$P$199</definedName>
    <definedName name="domicile_19">BUNDESLIGA!$F$202:$P$210</definedName>
    <definedName name="domicile_2">BUNDESLIGA!$F$15:$P$23</definedName>
    <definedName name="domicile_20">BUNDESLIGA!$F$213:$P$221</definedName>
    <definedName name="domicile_21">BUNDESLIGA!$F$224:$P$232</definedName>
    <definedName name="domicile_22">BUNDESLIGA!$F$235:$P$243</definedName>
    <definedName name="domicile_23">BUNDESLIGA!$F$246:$P$254</definedName>
    <definedName name="domicile_24">BUNDESLIGA!$F$257:$P$265</definedName>
    <definedName name="domicile_25">BUNDESLIGA!$F$268:$P$276</definedName>
    <definedName name="domicile_26">BUNDESLIGA!$F$279:$P$287</definedName>
    <definedName name="domicile_27">BUNDESLIGA!$F$290:$P$298</definedName>
    <definedName name="domicile_28">BUNDESLIGA!$F$301:$P$309</definedName>
    <definedName name="domicile_29">BUNDESLIGA!$F$312:$P$320</definedName>
    <definedName name="domicile_3">BUNDESLIGA!$F$26:$P$34</definedName>
    <definedName name="domicile_30">BUNDESLIGA!$F$323:$P$331</definedName>
    <definedName name="domicile_31">BUNDESLIGA!$F$334:$P$342</definedName>
    <definedName name="domicile_32">BUNDESLIGA!$F$345:$P$353</definedName>
    <definedName name="domicile_33">BUNDESLIGA!$F$356:$P$364</definedName>
    <definedName name="domicile_34">BUNDESLIGA!$F$367:$P$375</definedName>
    <definedName name="domicile_4">BUNDESLIGA!$F$37:$P$45</definedName>
    <definedName name="domicile_5">BUNDESLIGA!$F$48:$P$56</definedName>
    <definedName name="domicile_6">BUNDESLIGA!$F$59:$P$67</definedName>
    <definedName name="domicile_7">BUNDESLIGA!$F$70:$P$78</definedName>
    <definedName name="domicile_8">BUNDESLIGA!$F$81:$P$89</definedName>
    <definedName name="domicile_9">BUNDESLIGA!$F$92:$P$100</definedName>
    <definedName name="equipe">EQUIPES!$F$6:$F$23</definedName>
    <definedName name="exterieur_1">BUNDESLIGA!$I$4:$P$12</definedName>
    <definedName name="exterieur_10">BUNDESLIGA!$I$103:$P$111</definedName>
    <definedName name="exterieur_11">BUNDESLIGA!$I$114:$P$122</definedName>
    <definedName name="exterieur_12">BUNDESLIGA!$I$125:$P$133</definedName>
    <definedName name="exterieur_13">BUNDESLIGA!$I$136:$P$144</definedName>
    <definedName name="exterieur_14">BUNDESLIGA!$I$147:$P$155</definedName>
    <definedName name="exterieur_15">BUNDESLIGA!$I$158:$P$166</definedName>
    <definedName name="exterieur_16">BUNDESLIGA!$I$169:$P$177</definedName>
    <definedName name="exterieur_17">BUNDESLIGA!$I$180:$P$188</definedName>
    <definedName name="exterieur_18">BUNDESLIGA!$I$191:$P$199</definedName>
    <definedName name="exterieur_19">BUNDESLIGA!$I$202:$P$210</definedName>
    <definedName name="exterieur_2">BUNDESLIGA!$I$15:$P$23</definedName>
    <definedName name="exterieur_20">BUNDESLIGA!$I$213:$P$221</definedName>
    <definedName name="exterieur_21">BUNDESLIGA!$I$224:$P$232</definedName>
    <definedName name="exterieur_22">BUNDESLIGA!$I$235:$P$243</definedName>
    <definedName name="exterieur_23">BUNDESLIGA!$I$246:$P$254</definedName>
    <definedName name="exterieur_24">BUNDESLIGA!$I$257:$P$265</definedName>
    <definedName name="exterieur_25">BUNDESLIGA!$I$268:$P$276</definedName>
    <definedName name="exterieur_26">BUNDESLIGA!$I$279:$P$287</definedName>
    <definedName name="exterieur_27">BUNDESLIGA!$I$290:$P$298</definedName>
    <definedName name="exterieur_28">BUNDESLIGA!$I$301:$P$309</definedName>
    <definedName name="exterieur_29">BUNDESLIGA!$I$312:$P$320</definedName>
    <definedName name="exterieur_3">BUNDESLIGA!$I$26:$P$34</definedName>
    <definedName name="exterieur_30">BUNDESLIGA!$I$323:$P$331</definedName>
    <definedName name="exterieur_31">BUNDESLIGA!$I$334:$P$342</definedName>
    <definedName name="exterieur_32">BUNDESLIGA!$I$345:$P$353</definedName>
    <definedName name="exterieur_33">BUNDESLIGA!$I$356:$P$364</definedName>
    <definedName name="exterieur_34">BUNDESLIGA!$I$367:$P$375</definedName>
    <definedName name="exterieur_4">BUNDESLIGA!$I$37:$P$45</definedName>
    <definedName name="exterieur_5">BUNDESLIGA!$I$48:$P$56</definedName>
    <definedName name="exterieur_6">BUNDESLIGA!$I$59:$P$67</definedName>
    <definedName name="exterieur_7">BUNDESLIGA!$I$70:$P$78</definedName>
    <definedName name="exterieur_8">BUNDESLIGA!$I$81:$P$89</definedName>
    <definedName name="exterieur_9">BUNDESLIGA!$I$92:$P$100</definedName>
    <definedName name="journee">EQUIPES!$B$6:$B$39</definedName>
    <definedName name="journee_1">BUNDESLIGA!$F$4:$I$12</definedName>
    <definedName name="journee_10">BUNDESLIGA!$F$103:$I$111</definedName>
    <definedName name="journee_11">BUNDESLIGA!$F$114:$I$122</definedName>
    <definedName name="journee_12">BUNDESLIGA!$F$125:$I$133</definedName>
    <definedName name="journee_13">BUNDESLIGA!$F$136:$I$144</definedName>
    <definedName name="journee_14">BUNDESLIGA!$F$147:$I$155</definedName>
    <definedName name="journee_15">BUNDESLIGA!$F$158:$I$166</definedName>
    <definedName name="journee_16">BUNDESLIGA!$F$169:$I$177</definedName>
    <definedName name="journee_17">BUNDESLIGA!$F$180:$I$188</definedName>
    <definedName name="journee_18">BUNDESLIGA!$F$191:$I$199</definedName>
    <definedName name="journee_19">BUNDESLIGA!$F$202:$I$210</definedName>
    <definedName name="journee_2">BUNDESLIGA!$F$15:$I$23</definedName>
    <definedName name="journee_20">BUNDESLIGA!$F$213:$I$221</definedName>
    <definedName name="journee_21">BUNDESLIGA!$F$224:$I$232</definedName>
    <definedName name="journee_22">BUNDESLIGA!$F$235:$I$243</definedName>
    <definedName name="journee_23">BUNDESLIGA!$F$246:$I$254</definedName>
    <definedName name="journee_24">BUNDESLIGA!$F$257:$I$265</definedName>
    <definedName name="journee_25">BUNDESLIGA!$F$268:$I$276</definedName>
    <definedName name="journee_26">BUNDESLIGA!$F$279:$I$287</definedName>
    <definedName name="journee_27">BUNDESLIGA!$F$290:$I$298</definedName>
    <definedName name="journee_28">BUNDESLIGA!$F$301:$I$309</definedName>
    <definedName name="journee_29">BUNDESLIGA!$F$312:$I$320</definedName>
    <definedName name="journee_3">BUNDESLIGA!$F$26:$I$34</definedName>
    <definedName name="journee_30">BUNDESLIGA!$F$323:$I$331</definedName>
    <definedName name="journee_31">BUNDESLIGA!$F$334:$I$342</definedName>
    <definedName name="journee_32">BUNDESLIGA!$F$345:$I$353</definedName>
    <definedName name="journee_33">BUNDESLIGA!$F$356:$I$364</definedName>
    <definedName name="journee_34">BUNDESLIGA!$F$367:$I$375</definedName>
    <definedName name="journee_4">BUNDESLIGA!$F$37:$I$45</definedName>
    <definedName name="journee_5">BUNDESLIGA!$F$48:$I$56</definedName>
    <definedName name="journee_6">BUNDESLIGA!$F$59:$I$67</definedName>
    <definedName name="journee_7">BUNDESLIGA!$F$70:$I$78</definedName>
    <definedName name="journee_8">BUNDESLIGA!$F$81:$I$89</definedName>
    <definedName name="journee_9">BUNDESLIGA!$F$92:$I$100</definedName>
    <definedName name="_xlnm.Print_Area" localSheetId="4">' GRIS FIXTURE'!$C$3:$U$21</definedName>
  </definedNames>
  <calcPr calcId="191029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Saison!$B$2:$G$153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3" i="15" l="1"/>
  <c r="AM4" i="15"/>
  <c r="AM5" i="15"/>
  <c r="AM6" i="15"/>
  <c r="AM7" i="15"/>
  <c r="AM8" i="15"/>
  <c r="C50" i="15" l="1"/>
  <c r="C62" i="15" l="1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52" i="15"/>
  <c r="C53" i="15"/>
  <c r="C54" i="15"/>
  <c r="C55" i="15"/>
  <c r="C56" i="15"/>
  <c r="C57" i="15"/>
  <c r="C58" i="15"/>
  <c r="C59" i="15"/>
  <c r="C60" i="15"/>
  <c r="C61" i="15"/>
  <c r="C51" i="15"/>
  <c r="O7" i="15" l="1" a="1"/>
  <c r="O7" i="15" s="1"/>
  <c r="O8" i="15" a="1"/>
  <c r="O8" i="15" s="1"/>
  <c r="O9" i="15" a="1"/>
  <c r="O9" i="15" s="1"/>
  <c r="O10" i="15" a="1"/>
  <c r="O10" i="15" s="1"/>
  <c r="O11" i="15" a="1"/>
  <c r="O11" i="15" s="1"/>
  <c r="O12" i="15" a="1"/>
  <c r="O12" i="15" s="1"/>
  <c r="O13" i="15" a="1"/>
  <c r="O13" i="15" s="1"/>
  <c r="O14" i="15" a="1"/>
  <c r="O14" i="15" s="1"/>
  <c r="O15" i="15" a="1"/>
  <c r="O15" i="15" s="1"/>
  <c r="O16" i="15" a="1"/>
  <c r="O16" i="15" s="1"/>
  <c r="O17" i="15" a="1"/>
  <c r="O17" i="15" s="1"/>
  <c r="O18" i="15" a="1"/>
  <c r="O18" i="15" s="1"/>
  <c r="O19" i="15" a="1"/>
  <c r="O19" i="15" s="1"/>
  <c r="O20" i="15" a="1"/>
  <c r="O20" i="15" s="1"/>
  <c r="O21" i="15" a="1"/>
  <c r="O21" i="15" s="1"/>
  <c r="O22" i="15" a="1"/>
  <c r="O22" i="15" s="1"/>
  <c r="O23" i="15" a="1"/>
  <c r="O23" i="15" s="1"/>
  <c r="O24" i="15" a="1"/>
  <c r="O24" i="15" s="1"/>
  <c r="O25" i="15" a="1"/>
  <c r="O25" i="15" s="1"/>
  <c r="O26" i="15" a="1"/>
  <c r="O26" i="15" s="1"/>
  <c r="O27" i="15" a="1"/>
  <c r="O27" i="15" s="1"/>
  <c r="O28" i="15" a="1"/>
  <c r="O28" i="15" s="1"/>
  <c r="O29" i="15" a="1"/>
  <c r="O29" i="15" s="1"/>
  <c r="O30" i="15" a="1"/>
  <c r="O30" i="15" s="1"/>
  <c r="O31" i="15" a="1"/>
  <c r="O31" i="15" s="1"/>
  <c r="O32" i="15" a="1"/>
  <c r="O32" i="15" s="1"/>
  <c r="O33" i="15" a="1"/>
  <c r="O33" i="15" s="1"/>
  <c r="O34" i="15" a="1"/>
  <c r="O34" i="15" s="1"/>
  <c r="O35" i="15" a="1"/>
  <c r="O35" i="15" s="1"/>
  <c r="O36" i="15" a="1"/>
  <c r="O36" i="15" s="1"/>
  <c r="O37" i="15" a="1"/>
  <c r="O37" i="15" s="1"/>
  <c r="O6" i="15" a="1"/>
  <c r="O6" i="15" s="1"/>
  <c r="N7" i="15" a="1"/>
  <c r="N7" i="15" s="1"/>
  <c r="N8" i="15" a="1"/>
  <c r="N8" i="15" s="1"/>
  <c r="N9" i="15" a="1"/>
  <c r="N9" i="15" s="1"/>
  <c r="N10" i="15" a="1"/>
  <c r="N10" i="15" s="1"/>
  <c r="N11" i="15" a="1"/>
  <c r="N11" i="15" s="1"/>
  <c r="N12" i="15" a="1"/>
  <c r="N12" i="15" s="1"/>
  <c r="N13" i="15" a="1"/>
  <c r="N13" i="15" s="1"/>
  <c r="N14" i="15" a="1"/>
  <c r="N14" i="15" s="1"/>
  <c r="N15" i="15" a="1"/>
  <c r="N15" i="15" s="1"/>
  <c r="N16" i="15" a="1"/>
  <c r="N16" i="15" s="1"/>
  <c r="N17" i="15" a="1"/>
  <c r="N17" i="15" s="1"/>
  <c r="N18" i="15" a="1"/>
  <c r="N18" i="15" s="1"/>
  <c r="N19" i="15" a="1"/>
  <c r="N19" i="15" s="1"/>
  <c r="N20" i="15" a="1"/>
  <c r="N20" i="15" s="1"/>
  <c r="N21" i="15" a="1"/>
  <c r="N21" i="15" s="1"/>
  <c r="N22" i="15" a="1"/>
  <c r="N22" i="15" s="1"/>
  <c r="N23" i="15" a="1"/>
  <c r="N23" i="15" s="1"/>
  <c r="N24" i="15" a="1"/>
  <c r="N24" i="15" s="1"/>
  <c r="N25" i="15" a="1"/>
  <c r="N25" i="15" s="1"/>
  <c r="N26" i="15" a="1"/>
  <c r="N26" i="15" s="1"/>
  <c r="N27" i="15" a="1"/>
  <c r="N27" i="15" s="1"/>
  <c r="N28" i="15" a="1"/>
  <c r="N28" i="15" s="1"/>
  <c r="N29" i="15" a="1"/>
  <c r="N29" i="15" s="1"/>
  <c r="N30" i="15" a="1"/>
  <c r="N30" i="15" s="1"/>
  <c r="N31" i="15" a="1"/>
  <c r="N31" i="15" s="1"/>
  <c r="N32" i="15" a="1"/>
  <c r="N32" i="15" s="1"/>
  <c r="N33" i="15" a="1"/>
  <c r="N33" i="15" s="1"/>
  <c r="N34" i="15" a="1"/>
  <c r="N34" i="15" s="1"/>
  <c r="N35" i="15" a="1"/>
  <c r="N35" i="15" s="1"/>
  <c r="N36" i="15" a="1"/>
  <c r="N36" i="15" s="1"/>
  <c r="N37" i="15" a="1"/>
  <c r="N37" i="15" s="1"/>
  <c r="N6" i="15" a="1"/>
  <c r="N6" i="15" s="1"/>
  <c r="J7" i="15" a="1"/>
  <c r="J7" i="15" s="1"/>
  <c r="J8" i="15" a="1"/>
  <c r="J8" i="15" s="1"/>
  <c r="J9" i="15" a="1"/>
  <c r="J9" i="15" s="1"/>
  <c r="J10" i="15" a="1"/>
  <c r="J10" i="15" s="1"/>
  <c r="J11" i="15" a="1"/>
  <c r="J11" i="15" s="1"/>
  <c r="J12" i="15" a="1"/>
  <c r="J12" i="15" s="1"/>
  <c r="J13" i="15" a="1"/>
  <c r="J13" i="15" s="1"/>
  <c r="J14" i="15" a="1"/>
  <c r="J14" i="15" s="1"/>
  <c r="J15" i="15" a="1"/>
  <c r="J15" i="15" s="1"/>
  <c r="J16" i="15" a="1"/>
  <c r="J16" i="15" s="1"/>
  <c r="J17" i="15" a="1"/>
  <c r="J17" i="15" s="1"/>
  <c r="J18" i="15" a="1"/>
  <c r="J18" i="15" s="1"/>
  <c r="J19" i="15" a="1"/>
  <c r="J19" i="15" s="1"/>
  <c r="J20" i="15" a="1"/>
  <c r="J20" i="15" s="1"/>
  <c r="J21" i="15" a="1"/>
  <c r="J21" i="15" s="1"/>
  <c r="J22" i="15" a="1"/>
  <c r="J22" i="15" s="1"/>
  <c r="J23" i="15" a="1"/>
  <c r="J23" i="15" s="1"/>
  <c r="J24" i="15" a="1"/>
  <c r="J24" i="15" s="1"/>
  <c r="J25" i="15" a="1"/>
  <c r="J25" i="15" s="1"/>
  <c r="J26" i="15" a="1"/>
  <c r="J26" i="15" s="1"/>
  <c r="J27" i="15" a="1"/>
  <c r="J27" i="15" s="1"/>
  <c r="J28" i="15" a="1"/>
  <c r="J28" i="15" s="1"/>
  <c r="J29" i="15" a="1"/>
  <c r="J29" i="15" s="1"/>
  <c r="J30" i="15" a="1"/>
  <c r="J30" i="15" s="1"/>
  <c r="J31" i="15" a="1"/>
  <c r="J31" i="15" s="1"/>
  <c r="J32" i="15" a="1"/>
  <c r="J32" i="15" s="1"/>
  <c r="J33" i="15" a="1"/>
  <c r="J33" i="15" s="1"/>
  <c r="J34" i="15" a="1"/>
  <c r="J34" i="15" s="1"/>
  <c r="J35" i="15" a="1"/>
  <c r="J35" i="15" s="1"/>
  <c r="J36" i="15" a="1"/>
  <c r="J36" i="15" s="1"/>
  <c r="J37" i="15" a="1"/>
  <c r="J37" i="15" s="1"/>
  <c r="J38" i="15" a="1"/>
  <c r="J38" i="15" s="1"/>
  <c r="J39" i="15" a="1"/>
  <c r="J39" i="15" s="1"/>
  <c r="J6" i="15" a="1"/>
  <c r="J6" i="15" s="1"/>
  <c r="F5" i="15"/>
  <c r="C12" i="15"/>
  <c r="E12" i="15"/>
  <c r="C5" i="15"/>
  <c r="C8" i="15"/>
  <c r="D8" i="15"/>
  <c r="E10" i="15"/>
  <c r="F4" i="15"/>
  <c r="E4" i="15"/>
  <c r="E11" i="15"/>
  <c r="F8" i="15"/>
  <c r="D4" i="15"/>
  <c r="D5" i="15"/>
  <c r="D12" i="15"/>
  <c r="F12" i="15"/>
  <c r="E7" i="15"/>
  <c r="C11" i="15"/>
  <c r="C10" i="15"/>
  <c r="C9" i="15"/>
  <c r="E5" i="15"/>
  <c r="E8" i="15"/>
  <c r="F10" i="15"/>
  <c r="F9" i="15"/>
  <c r="F6" i="15"/>
  <c r="D11" i="15"/>
  <c r="E9" i="15"/>
  <c r="D6" i="15"/>
  <c r="F11" i="15"/>
  <c r="D9" i="15"/>
  <c r="C7" i="15"/>
  <c r="C6" i="15"/>
  <c r="F7" i="15"/>
  <c r="D10" i="15"/>
  <c r="D7" i="15"/>
  <c r="E6" i="15"/>
  <c r="M6" i="15" l="1"/>
  <c r="AR4" i="15" s="1"/>
  <c r="K6" i="15"/>
  <c r="AR2" i="15" s="1"/>
  <c r="S11" i="15"/>
  <c r="U11" i="15" s="1"/>
  <c r="S12" i="15"/>
  <c r="U12" i="15" s="1"/>
  <c r="S13" i="15"/>
  <c r="U13" i="15" s="1"/>
  <c r="S14" i="15"/>
  <c r="U14" i="15" s="1"/>
  <c r="S15" i="15"/>
  <c r="U15" i="15" s="1"/>
  <c r="S16" i="15"/>
  <c r="U16" i="15" s="1"/>
  <c r="S17" i="15"/>
  <c r="U17" i="15" s="1"/>
  <c r="S18" i="15"/>
  <c r="U18" i="15" s="1"/>
  <c r="S19" i="15"/>
  <c r="U19" i="15" s="1"/>
  <c r="S20" i="15"/>
  <c r="U20" i="15" s="1"/>
  <c r="S21" i="15"/>
  <c r="U21" i="15" s="1"/>
  <c r="S22" i="15"/>
  <c r="U22" i="15" s="1"/>
  <c r="S23" i="15"/>
  <c r="U23" i="15" s="1"/>
  <c r="S24" i="15"/>
  <c r="U24" i="15" s="1"/>
  <c r="S25" i="15"/>
  <c r="U25" i="15" s="1"/>
  <c r="S26" i="15"/>
  <c r="U26" i="15" s="1"/>
  <c r="S27" i="15"/>
  <c r="U27" i="15" s="1"/>
  <c r="S28" i="15"/>
  <c r="U28" i="15" s="1"/>
  <c r="S29" i="15"/>
  <c r="U29" i="15" s="1"/>
  <c r="S30" i="15"/>
  <c r="U30" i="15" s="1"/>
  <c r="S31" i="15"/>
  <c r="U31" i="15" s="1"/>
  <c r="S32" i="15"/>
  <c r="U32" i="15" s="1"/>
  <c r="S33" i="15"/>
  <c r="U33" i="15" s="1"/>
  <c r="S34" i="15"/>
  <c r="U34" i="15" s="1"/>
  <c r="S35" i="15"/>
  <c r="U35" i="15" s="1"/>
  <c r="S36" i="15"/>
  <c r="U36" i="15" s="1"/>
  <c r="R11" i="15"/>
  <c r="T11" i="15" s="1"/>
  <c r="R12" i="15"/>
  <c r="T12" i="15" s="1"/>
  <c r="R13" i="15"/>
  <c r="T13" i="15" s="1"/>
  <c r="R14" i="15"/>
  <c r="T14" i="15" s="1"/>
  <c r="R15" i="15"/>
  <c r="T15" i="15" s="1"/>
  <c r="R16" i="15"/>
  <c r="T16" i="15" s="1"/>
  <c r="R17" i="15"/>
  <c r="T17" i="15" s="1"/>
  <c r="R19" i="15"/>
  <c r="T19" i="15" s="1"/>
  <c r="R20" i="15"/>
  <c r="T20" i="15" s="1"/>
  <c r="R21" i="15"/>
  <c r="T21" i="15" s="1"/>
  <c r="R22" i="15"/>
  <c r="T22" i="15" s="1"/>
  <c r="R23" i="15"/>
  <c r="T23" i="15" s="1"/>
  <c r="R24" i="15"/>
  <c r="T24" i="15" s="1"/>
  <c r="R25" i="15"/>
  <c r="T25" i="15" s="1"/>
  <c r="R26" i="15"/>
  <c r="T26" i="15" s="1"/>
  <c r="R27" i="15"/>
  <c r="T27" i="15" s="1"/>
  <c r="R28" i="15"/>
  <c r="T28" i="15" s="1"/>
  <c r="R29" i="15"/>
  <c r="T29" i="15" s="1"/>
  <c r="R31" i="15"/>
  <c r="T31" i="15" s="1"/>
  <c r="R32" i="15"/>
  <c r="T32" i="15" s="1"/>
  <c r="R33" i="15"/>
  <c r="T33" i="15" s="1"/>
  <c r="R34" i="15"/>
  <c r="T34" i="15" s="1"/>
  <c r="R35" i="15"/>
  <c r="T35" i="15" s="1"/>
  <c r="M7" i="15"/>
  <c r="K8" i="15"/>
  <c r="K9" i="15"/>
  <c r="K10" i="15"/>
  <c r="K11" i="15"/>
  <c r="K12" i="15"/>
  <c r="K13" i="15"/>
  <c r="K14" i="15"/>
  <c r="K15" i="15"/>
  <c r="K16" i="15"/>
  <c r="K17" i="15"/>
  <c r="K18" i="15"/>
  <c r="K19" i="15"/>
  <c r="K20" i="15"/>
  <c r="K21" i="15"/>
  <c r="K22" i="15"/>
  <c r="K23" i="15"/>
  <c r="K24" i="15"/>
  <c r="K25" i="15"/>
  <c r="K26" i="15"/>
  <c r="K27" i="15"/>
  <c r="K28" i="15"/>
  <c r="K29" i="15"/>
  <c r="K30" i="15"/>
  <c r="K31" i="15"/>
  <c r="K32" i="15"/>
  <c r="K33" i="15"/>
  <c r="K34" i="15"/>
  <c r="K35" i="15"/>
  <c r="K36" i="15"/>
  <c r="R7" i="15" l="1"/>
  <c r="T7" i="15" s="1"/>
  <c r="R10" i="15"/>
  <c r="T10" i="15" s="1"/>
  <c r="R9" i="15"/>
  <c r="T9" i="15" s="1"/>
  <c r="R8" i="15"/>
  <c r="T8" i="15" s="1"/>
  <c r="S10" i="15"/>
  <c r="U10" i="15" s="1"/>
  <c r="S9" i="15"/>
  <c r="U9" i="15" s="1"/>
  <c r="S8" i="15"/>
  <c r="U8" i="15" s="1"/>
  <c r="S7" i="15"/>
  <c r="U7" i="15" s="1"/>
  <c r="K7" i="15"/>
  <c r="L36" i="15"/>
  <c r="L30" i="15"/>
  <c r="L18" i="15"/>
  <c r="R30" i="15"/>
  <c r="T30" i="15" s="1"/>
  <c r="R18" i="15"/>
  <c r="T18" i="15" s="1"/>
  <c r="R36" i="15"/>
  <c r="T36" i="15" s="1"/>
  <c r="L7" i="15"/>
  <c r="L27" i="15"/>
  <c r="L17" i="15"/>
  <c r="L26" i="15"/>
  <c r="L25" i="15"/>
  <c r="L35" i="15"/>
  <c r="L24" i="15"/>
  <c r="L34" i="15"/>
  <c r="L33" i="15"/>
  <c r="L23" i="15"/>
  <c r="L32" i="15"/>
  <c r="L22" i="15"/>
  <c r="L31" i="15"/>
  <c r="L21" i="15"/>
  <c r="L20" i="15"/>
  <c r="L19" i="15"/>
  <c r="L29" i="15"/>
  <c r="L28" i="15"/>
  <c r="M18" i="15"/>
  <c r="M29" i="15"/>
  <c r="M17" i="15"/>
  <c r="M28" i="15"/>
  <c r="M16" i="15"/>
  <c r="M27" i="15"/>
  <c r="M15" i="15"/>
  <c r="M26" i="15"/>
  <c r="M14" i="15"/>
  <c r="M25" i="15"/>
  <c r="M13" i="15"/>
  <c r="M36" i="15"/>
  <c r="M24" i="15"/>
  <c r="M12" i="15"/>
  <c r="M30" i="15"/>
  <c r="M35" i="15"/>
  <c r="M23" i="15"/>
  <c r="M11" i="15"/>
  <c r="M34" i="15"/>
  <c r="M22" i="15"/>
  <c r="M10" i="15"/>
  <c r="M33" i="15"/>
  <c r="M21" i="15"/>
  <c r="M9" i="15"/>
  <c r="M32" i="15"/>
  <c r="M20" i="15"/>
  <c r="M8" i="15"/>
  <c r="M31" i="15"/>
  <c r="M19" i="15"/>
  <c r="B4" i="1" l="1"/>
  <c r="L16" i="15" l="1"/>
  <c r="L15" i="15"/>
  <c r="L14" i="15"/>
  <c r="L11" i="15"/>
  <c r="L13" i="15"/>
  <c r="L12" i="15"/>
  <c r="L8" i="15"/>
  <c r="L9" i="15"/>
  <c r="L10" i="15"/>
  <c r="Q3" i="15"/>
  <c r="C4" i="15"/>
  <c r="L6" i="15" l="1"/>
  <c r="R6" i="15"/>
  <c r="T6" i="15" s="1"/>
  <c r="S6" i="15"/>
  <c r="U6" i="15" s="1"/>
  <c r="Y40" i="15" l="1"/>
  <c r="AP3" i="15"/>
  <c r="D29" i="15" s="1"/>
  <c r="AP2" i="15"/>
  <c r="C31" i="15" s="1"/>
  <c r="Y42" i="15"/>
  <c r="AP4" i="15"/>
  <c r="F31" i="15" s="1"/>
  <c r="Y41" i="15"/>
  <c r="E4" i="12"/>
  <c r="AP3" i="12" l="1"/>
  <c r="AP4" i="12"/>
  <c r="AP5" i="12"/>
  <c r="AP6" i="12"/>
  <c r="AP7" i="12"/>
  <c r="AP8" i="12"/>
  <c r="AP9" i="12"/>
  <c r="AP10" i="12"/>
  <c r="AP11" i="12"/>
  <c r="AP12" i="12"/>
  <c r="AP13" i="12"/>
  <c r="AP14" i="12"/>
  <c r="AP15" i="12"/>
  <c r="AP16" i="12"/>
  <c r="AP17" i="12"/>
  <c r="AP18" i="12"/>
  <c r="AP19" i="12"/>
  <c r="AP20" i="12"/>
  <c r="AB10" i="14" l="1"/>
  <c r="AC10" i="14"/>
  <c r="AD10" i="14"/>
  <c r="AE10" i="14"/>
  <c r="AF10" i="14"/>
  <c r="AG10" i="14"/>
  <c r="AH10" i="14"/>
  <c r="AI10" i="14"/>
  <c r="AJ10" i="14"/>
  <c r="AB11" i="14"/>
  <c r="AC11" i="14"/>
  <c r="AD11" i="14"/>
  <c r="AE11" i="14"/>
  <c r="AF11" i="14"/>
  <c r="AG11" i="14"/>
  <c r="AH11" i="14"/>
  <c r="AI11" i="14"/>
  <c r="AJ11" i="14"/>
  <c r="AB12" i="14"/>
  <c r="AC12" i="14"/>
  <c r="AD12" i="14"/>
  <c r="AE12" i="14"/>
  <c r="AF12" i="14"/>
  <c r="AG12" i="14"/>
  <c r="AH12" i="14"/>
  <c r="AI12" i="14"/>
  <c r="AJ12" i="14"/>
  <c r="AB13" i="14"/>
  <c r="AC13" i="14"/>
  <c r="AD13" i="14"/>
  <c r="AE13" i="14"/>
  <c r="AF13" i="14"/>
  <c r="AG13" i="14"/>
  <c r="AH13" i="14"/>
  <c r="AI13" i="14"/>
  <c r="AJ13" i="14"/>
  <c r="AB14" i="14"/>
  <c r="AC14" i="14"/>
  <c r="AD14" i="14"/>
  <c r="AE14" i="14"/>
  <c r="AF14" i="14"/>
  <c r="AG14" i="14"/>
  <c r="AH14" i="14"/>
  <c r="AI14" i="14"/>
  <c r="AJ14" i="14"/>
  <c r="AB15" i="14"/>
  <c r="AC15" i="14"/>
  <c r="AD15" i="14"/>
  <c r="AE15" i="14"/>
  <c r="AF15" i="14"/>
  <c r="AG15" i="14"/>
  <c r="AH15" i="14"/>
  <c r="AI15" i="14"/>
  <c r="AJ15" i="14"/>
  <c r="AB16" i="14"/>
  <c r="AC16" i="14"/>
  <c r="AD16" i="14"/>
  <c r="AE16" i="14"/>
  <c r="AF16" i="14"/>
  <c r="AG16" i="14"/>
  <c r="AH16" i="14"/>
  <c r="AI16" i="14"/>
  <c r="AJ16" i="14"/>
  <c r="AB17" i="14"/>
  <c r="AC17" i="14"/>
  <c r="AD17" i="14"/>
  <c r="AE17" i="14"/>
  <c r="AF17" i="14"/>
  <c r="AG17" i="14"/>
  <c r="AH17" i="14"/>
  <c r="AI17" i="14"/>
  <c r="AJ17" i="14"/>
  <c r="AB18" i="14"/>
  <c r="AC18" i="14"/>
  <c r="AD18" i="14"/>
  <c r="AE18" i="14"/>
  <c r="AF18" i="14"/>
  <c r="AG18" i="14"/>
  <c r="AH18" i="14"/>
  <c r="AI18" i="14"/>
  <c r="AJ18" i="14"/>
  <c r="AB19" i="14"/>
  <c r="AC19" i="14"/>
  <c r="AD19" i="14"/>
  <c r="AE19" i="14"/>
  <c r="AF19" i="14"/>
  <c r="AG19" i="14"/>
  <c r="AH19" i="14"/>
  <c r="AI19" i="14"/>
  <c r="AJ19" i="14"/>
  <c r="AB20" i="14"/>
  <c r="AC20" i="14"/>
  <c r="AD20" i="14"/>
  <c r="AE20" i="14"/>
  <c r="AF20" i="14"/>
  <c r="AG20" i="14"/>
  <c r="AH20" i="14"/>
  <c r="AI20" i="14"/>
  <c r="AJ20" i="14"/>
  <c r="AB21" i="14"/>
  <c r="AC21" i="14"/>
  <c r="AD21" i="14"/>
  <c r="AE21" i="14"/>
  <c r="AF21" i="14"/>
  <c r="AG21" i="14"/>
  <c r="AH21" i="14"/>
  <c r="AI21" i="14"/>
  <c r="AJ21" i="14"/>
  <c r="AB22" i="14"/>
  <c r="AC22" i="14"/>
  <c r="AD22" i="14"/>
  <c r="AE22" i="14"/>
  <c r="AF22" i="14"/>
  <c r="AG22" i="14"/>
  <c r="AH22" i="14"/>
  <c r="AI22" i="14"/>
  <c r="AJ22" i="14"/>
  <c r="AB23" i="14"/>
  <c r="AC23" i="14"/>
  <c r="AD23" i="14"/>
  <c r="AE23" i="14"/>
  <c r="AF23" i="14"/>
  <c r="AG23" i="14"/>
  <c r="AH23" i="14"/>
  <c r="AI23" i="14"/>
  <c r="AJ23" i="14"/>
  <c r="AB24" i="14"/>
  <c r="AC24" i="14"/>
  <c r="AD24" i="14"/>
  <c r="AE24" i="14"/>
  <c r="AF24" i="14"/>
  <c r="AG24" i="14"/>
  <c r="AH24" i="14"/>
  <c r="AI24" i="14"/>
  <c r="AJ24" i="14"/>
  <c r="AB25" i="14"/>
  <c r="AC25" i="14"/>
  <c r="AD25" i="14"/>
  <c r="AE25" i="14"/>
  <c r="AF25" i="14"/>
  <c r="AG25" i="14"/>
  <c r="AH25" i="14"/>
  <c r="AI25" i="14"/>
  <c r="AJ25" i="14"/>
  <c r="AB26" i="14"/>
  <c r="AC26" i="14"/>
  <c r="AD26" i="14"/>
  <c r="AE26" i="14"/>
  <c r="AF26" i="14"/>
  <c r="AG26" i="14"/>
  <c r="AH26" i="14"/>
  <c r="AI26" i="14"/>
  <c r="AJ26" i="14"/>
  <c r="AB9" i="14"/>
  <c r="AC9" i="14"/>
  <c r="AD9" i="14"/>
  <c r="AE9" i="14"/>
  <c r="AF9" i="14"/>
  <c r="AG9" i="14"/>
  <c r="AH9" i="14"/>
  <c r="AI9" i="14"/>
  <c r="AJ9" i="14"/>
  <c r="AG10" i="9"/>
  <c r="P11" i="9"/>
  <c r="Z686" i="1" l="1"/>
  <c r="V686" i="1" s="1"/>
  <c r="Z687" i="1"/>
  <c r="Z688" i="1"/>
  <c r="Z689" i="1"/>
  <c r="Z690" i="1"/>
  <c r="Z691" i="1"/>
  <c r="Z692" i="1"/>
  <c r="V692" i="1" s="1"/>
  <c r="AM9" i="15" s="1"/>
  <c r="Z693" i="1"/>
  <c r="Z694" i="1"/>
  <c r="Z695" i="1"/>
  <c r="Z696" i="1"/>
  <c r="AA696" i="1" s="1"/>
  <c r="Z697" i="1"/>
  <c r="AE697" i="1" s="1"/>
  <c r="Z698" i="1"/>
  <c r="V698" i="1" s="1"/>
  <c r="AM15" i="15" s="1"/>
  <c r="Z699" i="1"/>
  <c r="Z700" i="1"/>
  <c r="Z701" i="1"/>
  <c r="Z702" i="1"/>
  <c r="Z685" i="1"/>
  <c r="AA692" i="1" l="1"/>
  <c r="AF698" i="1"/>
  <c r="AF695" i="1"/>
  <c r="V695" i="1"/>
  <c r="AM12" i="15" s="1"/>
  <c r="AE693" i="1"/>
  <c r="V693" i="1"/>
  <c r="AM10" i="15" s="1"/>
  <c r="AA697" i="1"/>
  <c r="AA698" i="1"/>
  <c r="AE694" i="1"/>
  <c r="V694" i="1"/>
  <c r="AM11" i="15" s="1"/>
  <c r="AF685" i="1"/>
  <c r="V685" i="1"/>
  <c r="AM2" i="15" s="1"/>
  <c r="AE691" i="1"/>
  <c r="V691" i="1"/>
  <c r="AE686" i="1"/>
  <c r="AF701" i="1"/>
  <c r="V701" i="1"/>
  <c r="AM18" i="15" s="1"/>
  <c r="AF689" i="1"/>
  <c r="V689" i="1"/>
  <c r="AE695" i="1"/>
  <c r="AF688" i="1"/>
  <c r="V688" i="1"/>
  <c r="AE696" i="1"/>
  <c r="V696" i="1"/>
  <c r="AM13" i="15" s="1"/>
  <c r="AA695" i="1"/>
  <c r="AF702" i="1"/>
  <c r="V702" i="1"/>
  <c r="AM19" i="15" s="1"/>
  <c r="AF690" i="1"/>
  <c r="V690" i="1"/>
  <c r="AE692" i="1"/>
  <c r="AF700" i="1"/>
  <c r="V700" i="1"/>
  <c r="AM17" i="15" s="1"/>
  <c r="AF699" i="1"/>
  <c r="V699" i="1"/>
  <c r="AM16" i="15" s="1"/>
  <c r="AF687" i="1"/>
  <c r="V687" i="1"/>
  <c r="AE698" i="1"/>
  <c r="AF686" i="1"/>
  <c r="AF697" i="1"/>
  <c r="AG697" i="1" s="1"/>
  <c r="V697" i="1"/>
  <c r="AM14" i="15" s="1"/>
  <c r="AA686" i="1"/>
  <c r="AF692" i="1"/>
  <c r="AE685" i="1"/>
  <c r="AA687" i="1"/>
  <c r="AA699" i="1"/>
  <c r="AE687" i="1"/>
  <c r="AE699" i="1"/>
  <c r="AF693" i="1"/>
  <c r="AA685" i="1"/>
  <c r="AA688" i="1"/>
  <c r="AA700" i="1"/>
  <c r="AE688" i="1"/>
  <c r="AE700" i="1"/>
  <c r="AF694" i="1"/>
  <c r="AF691" i="1"/>
  <c r="AE689" i="1"/>
  <c r="AE701" i="1"/>
  <c r="AA689" i="1"/>
  <c r="AA690" i="1"/>
  <c r="AA702" i="1"/>
  <c r="AE690" i="1"/>
  <c r="AE702" i="1"/>
  <c r="AF696" i="1"/>
  <c r="AA701" i="1"/>
  <c r="AA691" i="1"/>
  <c r="AA693" i="1"/>
  <c r="AA694" i="1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9" i="14"/>
  <c r="AG694" i="1" l="1"/>
  <c r="AH8" i="9"/>
  <c r="AD8" i="9"/>
  <c r="AF8" i="9"/>
  <c r="AC8" i="9"/>
  <c r="AE8" i="9"/>
  <c r="AJ8" i="9"/>
  <c r="AG8" i="9"/>
  <c r="AI8" i="9"/>
  <c r="AK8" i="9"/>
  <c r="AG700" i="1"/>
  <c r="AG689" i="1"/>
  <c r="AG695" i="1"/>
  <c r="AG691" i="1"/>
  <c r="AG686" i="1"/>
  <c r="AG702" i="1"/>
  <c r="AG698" i="1"/>
  <c r="AG701" i="1"/>
  <c r="AG690" i="1"/>
  <c r="AG696" i="1"/>
  <c r="AG685" i="1"/>
  <c r="AG687" i="1"/>
  <c r="AG688" i="1"/>
  <c r="AG692" i="1"/>
  <c r="AG693" i="1"/>
  <c r="AG699" i="1"/>
  <c r="AJ5" i="14"/>
  <c r="AH5" i="14"/>
  <c r="AB5" i="14"/>
  <c r="AD5" i="14"/>
  <c r="AC5" i="14"/>
  <c r="AF5" i="14"/>
  <c r="AI5" i="14"/>
  <c r="AG5" i="14"/>
  <c r="AE5" i="14"/>
  <c r="E3" i="12"/>
  <c r="G301" i="12" l="1"/>
  <c r="G302" i="12"/>
  <c r="G303" i="12"/>
  <c r="G304" i="12"/>
  <c r="G305" i="12"/>
  <c r="G306" i="12"/>
  <c r="G307" i="12"/>
  <c r="G308" i="12"/>
  <c r="G300" i="12"/>
  <c r="G292" i="12"/>
  <c r="G293" i="12"/>
  <c r="G294" i="12"/>
  <c r="G295" i="12"/>
  <c r="G296" i="12"/>
  <c r="G297" i="12"/>
  <c r="G298" i="12"/>
  <c r="G299" i="12"/>
  <c r="G291" i="12"/>
  <c r="G283" i="12"/>
  <c r="G284" i="12"/>
  <c r="G285" i="12"/>
  <c r="G286" i="12"/>
  <c r="G287" i="12"/>
  <c r="G288" i="12"/>
  <c r="G289" i="12"/>
  <c r="G290" i="12"/>
  <c r="G282" i="12"/>
  <c r="G274" i="12"/>
  <c r="G275" i="12"/>
  <c r="G276" i="12"/>
  <c r="G277" i="12"/>
  <c r="G278" i="12"/>
  <c r="G279" i="12"/>
  <c r="G280" i="12"/>
  <c r="G281" i="12"/>
  <c r="G273" i="12"/>
  <c r="G265" i="12"/>
  <c r="G266" i="12"/>
  <c r="G267" i="12"/>
  <c r="G268" i="12"/>
  <c r="G269" i="12"/>
  <c r="G270" i="12"/>
  <c r="G271" i="12"/>
  <c r="G272" i="12"/>
  <c r="G264" i="12"/>
  <c r="G256" i="12"/>
  <c r="G257" i="12"/>
  <c r="G258" i="12"/>
  <c r="G259" i="12"/>
  <c r="G260" i="12"/>
  <c r="G261" i="12"/>
  <c r="G262" i="12"/>
  <c r="G263" i="12"/>
  <c r="G255" i="12"/>
  <c r="G247" i="12"/>
  <c r="G248" i="12"/>
  <c r="G249" i="12"/>
  <c r="G250" i="12"/>
  <c r="G251" i="12"/>
  <c r="G252" i="12"/>
  <c r="G253" i="12"/>
  <c r="G254" i="12"/>
  <c r="G246" i="12"/>
  <c r="G238" i="12"/>
  <c r="G239" i="12"/>
  <c r="G240" i="12"/>
  <c r="G241" i="12"/>
  <c r="G242" i="12"/>
  <c r="G243" i="12"/>
  <c r="G244" i="12"/>
  <c r="G245" i="12"/>
  <c r="G237" i="12"/>
  <c r="G229" i="12"/>
  <c r="G230" i="12"/>
  <c r="G231" i="12"/>
  <c r="G232" i="12"/>
  <c r="G233" i="12"/>
  <c r="G234" i="12"/>
  <c r="G235" i="12"/>
  <c r="G236" i="12"/>
  <c r="G228" i="12"/>
  <c r="G220" i="12"/>
  <c r="G221" i="12"/>
  <c r="G222" i="12"/>
  <c r="G223" i="12"/>
  <c r="G224" i="12"/>
  <c r="G225" i="12"/>
  <c r="G226" i="12"/>
  <c r="G227" i="12"/>
  <c r="G219" i="12"/>
  <c r="G211" i="12"/>
  <c r="G212" i="12"/>
  <c r="G213" i="12"/>
  <c r="G214" i="12"/>
  <c r="G215" i="12"/>
  <c r="G216" i="12"/>
  <c r="G217" i="12"/>
  <c r="G218" i="12"/>
  <c r="G210" i="12"/>
  <c r="G202" i="12"/>
  <c r="G203" i="12"/>
  <c r="G204" i="12"/>
  <c r="G205" i="12"/>
  <c r="G206" i="12"/>
  <c r="G207" i="12"/>
  <c r="G208" i="12"/>
  <c r="G209" i="12"/>
  <c r="G201" i="12"/>
  <c r="G193" i="12"/>
  <c r="G194" i="12"/>
  <c r="G195" i="12"/>
  <c r="G196" i="12"/>
  <c r="G197" i="12"/>
  <c r="G198" i="12"/>
  <c r="G199" i="12"/>
  <c r="G200" i="12"/>
  <c r="G192" i="12"/>
  <c r="G184" i="12"/>
  <c r="G185" i="12"/>
  <c r="G186" i="12"/>
  <c r="G187" i="12"/>
  <c r="G188" i="12"/>
  <c r="G189" i="12"/>
  <c r="G190" i="12"/>
  <c r="G191" i="12"/>
  <c r="G183" i="12"/>
  <c r="G175" i="12"/>
  <c r="G176" i="12"/>
  <c r="G177" i="12"/>
  <c r="G178" i="12"/>
  <c r="G179" i="12"/>
  <c r="G180" i="12"/>
  <c r="G181" i="12"/>
  <c r="G182" i="12"/>
  <c r="G174" i="12"/>
  <c r="G166" i="12"/>
  <c r="G167" i="12"/>
  <c r="G168" i="12"/>
  <c r="G169" i="12"/>
  <c r="G170" i="12"/>
  <c r="G171" i="12"/>
  <c r="G172" i="12"/>
  <c r="G173" i="12"/>
  <c r="G165" i="12"/>
  <c r="G157" i="12"/>
  <c r="G158" i="12"/>
  <c r="G159" i="12"/>
  <c r="G160" i="12"/>
  <c r="G161" i="12"/>
  <c r="G162" i="12"/>
  <c r="G163" i="12"/>
  <c r="G164" i="12"/>
  <c r="G156" i="12"/>
  <c r="G148" i="12"/>
  <c r="G149" i="12"/>
  <c r="G150" i="12"/>
  <c r="G151" i="12"/>
  <c r="G152" i="12"/>
  <c r="G153" i="12"/>
  <c r="G154" i="12"/>
  <c r="G155" i="12"/>
  <c r="G147" i="12"/>
  <c r="G139" i="12"/>
  <c r="G140" i="12"/>
  <c r="G141" i="12"/>
  <c r="G142" i="12"/>
  <c r="G143" i="12"/>
  <c r="G144" i="12"/>
  <c r="G145" i="12"/>
  <c r="G146" i="12"/>
  <c r="G138" i="12"/>
  <c r="G130" i="12"/>
  <c r="G131" i="12"/>
  <c r="G132" i="12"/>
  <c r="G133" i="12"/>
  <c r="G134" i="12"/>
  <c r="G135" i="12"/>
  <c r="G136" i="12"/>
  <c r="G137" i="12"/>
  <c r="G129" i="12"/>
  <c r="G121" i="12"/>
  <c r="G122" i="12"/>
  <c r="G123" i="12"/>
  <c r="G124" i="12"/>
  <c r="G125" i="12"/>
  <c r="G126" i="12"/>
  <c r="G127" i="12"/>
  <c r="G128" i="12"/>
  <c r="G120" i="12"/>
  <c r="G112" i="12"/>
  <c r="G113" i="12"/>
  <c r="G114" i="12"/>
  <c r="G115" i="12"/>
  <c r="G116" i="12"/>
  <c r="G117" i="12"/>
  <c r="G118" i="12"/>
  <c r="G119" i="12"/>
  <c r="G111" i="12"/>
  <c r="G103" i="12"/>
  <c r="G104" i="12"/>
  <c r="G105" i="12"/>
  <c r="G106" i="12"/>
  <c r="G107" i="12"/>
  <c r="G108" i="12"/>
  <c r="G109" i="12"/>
  <c r="G110" i="12"/>
  <c r="G102" i="12"/>
  <c r="G94" i="12"/>
  <c r="G95" i="12"/>
  <c r="G96" i="12"/>
  <c r="G97" i="12"/>
  <c r="G98" i="12"/>
  <c r="G99" i="12"/>
  <c r="G100" i="12"/>
  <c r="G101" i="12"/>
  <c r="G93" i="12"/>
  <c r="G85" i="12"/>
  <c r="G86" i="12"/>
  <c r="G87" i="12"/>
  <c r="G88" i="12"/>
  <c r="G89" i="12"/>
  <c r="G90" i="12"/>
  <c r="G91" i="12"/>
  <c r="G92" i="12"/>
  <c r="G84" i="12"/>
  <c r="G76" i="12"/>
  <c r="G77" i="12"/>
  <c r="G78" i="12"/>
  <c r="G79" i="12"/>
  <c r="G80" i="12"/>
  <c r="G81" i="12"/>
  <c r="G82" i="12"/>
  <c r="G83" i="12"/>
  <c r="G75" i="12"/>
  <c r="G67" i="12"/>
  <c r="G68" i="12"/>
  <c r="G69" i="12"/>
  <c r="G70" i="12"/>
  <c r="G71" i="12"/>
  <c r="G72" i="12"/>
  <c r="G73" i="12"/>
  <c r="G74" i="12"/>
  <c r="G66" i="12"/>
  <c r="G58" i="12"/>
  <c r="G59" i="12"/>
  <c r="G60" i="12"/>
  <c r="G61" i="12"/>
  <c r="G62" i="12"/>
  <c r="G63" i="12"/>
  <c r="G64" i="12"/>
  <c r="G65" i="12"/>
  <c r="G57" i="12"/>
  <c r="G49" i="12"/>
  <c r="G50" i="12"/>
  <c r="G51" i="12"/>
  <c r="G52" i="12"/>
  <c r="G53" i="12"/>
  <c r="G54" i="12"/>
  <c r="G55" i="12"/>
  <c r="G56" i="12"/>
  <c r="G48" i="12"/>
  <c r="G40" i="12"/>
  <c r="G41" i="12"/>
  <c r="G42" i="12"/>
  <c r="G43" i="12"/>
  <c r="G44" i="12"/>
  <c r="G45" i="12"/>
  <c r="G46" i="12"/>
  <c r="G47" i="12"/>
  <c r="G39" i="12"/>
  <c r="G31" i="12"/>
  <c r="G32" i="12"/>
  <c r="G33" i="12"/>
  <c r="G34" i="12"/>
  <c r="G35" i="12"/>
  <c r="G36" i="12"/>
  <c r="G37" i="12"/>
  <c r="G38" i="12"/>
  <c r="G30" i="12"/>
  <c r="G29" i="12"/>
  <c r="G22" i="12"/>
  <c r="G23" i="12"/>
  <c r="G24" i="12"/>
  <c r="G25" i="12"/>
  <c r="G26" i="12"/>
  <c r="G27" i="12"/>
  <c r="G28" i="12"/>
  <c r="G21" i="12"/>
  <c r="G13" i="12"/>
  <c r="G14" i="12"/>
  <c r="G15" i="12"/>
  <c r="G16" i="12"/>
  <c r="G17" i="12"/>
  <c r="G18" i="12"/>
  <c r="G19" i="12"/>
  <c r="G20" i="12"/>
  <c r="G12" i="12"/>
  <c r="G4" i="12"/>
  <c r="G5" i="12"/>
  <c r="G6" i="12"/>
  <c r="G7" i="12"/>
  <c r="G8" i="12"/>
  <c r="G9" i="12"/>
  <c r="G10" i="12"/>
  <c r="G11" i="12"/>
  <c r="G3" i="12"/>
  <c r="N109" i="2"/>
  <c r="N110" i="2"/>
  <c r="N111" i="2"/>
  <c r="N112" i="2"/>
  <c r="N113" i="2"/>
  <c r="N114" i="2"/>
  <c r="N115" i="2"/>
  <c r="N116" i="2"/>
  <c r="N108" i="2"/>
  <c r="N98" i="2"/>
  <c r="N99" i="2"/>
  <c r="N100" i="2"/>
  <c r="N101" i="2"/>
  <c r="N102" i="2"/>
  <c r="N103" i="2"/>
  <c r="N104" i="2"/>
  <c r="N105" i="2"/>
  <c r="N97" i="2"/>
  <c r="I109" i="2"/>
  <c r="I110" i="2"/>
  <c r="I111" i="2"/>
  <c r="I112" i="2"/>
  <c r="I113" i="2"/>
  <c r="I114" i="2"/>
  <c r="I115" i="2"/>
  <c r="I116" i="2"/>
  <c r="I108" i="2"/>
  <c r="I98" i="2"/>
  <c r="I99" i="2"/>
  <c r="I100" i="2"/>
  <c r="I101" i="2"/>
  <c r="I102" i="2"/>
  <c r="I103" i="2"/>
  <c r="I104" i="2"/>
  <c r="I105" i="2"/>
  <c r="I97" i="2"/>
  <c r="D109" i="2"/>
  <c r="D110" i="2"/>
  <c r="D111" i="2"/>
  <c r="D112" i="2"/>
  <c r="D113" i="2"/>
  <c r="D114" i="2"/>
  <c r="D115" i="2"/>
  <c r="D116" i="2"/>
  <c r="D108" i="2"/>
  <c r="D98" i="2"/>
  <c r="D99" i="2"/>
  <c r="D100" i="2"/>
  <c r="D101" i="2"/>
  <c r="D102" i="2"/>
  <c r="D103" i="2"/>
  <c r="D104" i="2"/>
  <c r="D105" i="2"/>
  <c r="D97" i="2"/>
  <c r="S76" i="2"/>
  <c r="S77" i="2"/>
  <c r="S78" i="2"/>
  <c r="S79" i="2"/>
  <c r="S80" i="2"/>
  <c r="S81" i="2"/>
  <c r="S82" i="2"/>
  <c r="S83" i="2"/>
  <c r="S75" i="2"/>
  <c r="S65" i="2"/>
  <c r="S66" i="2"/>
  <c r="S67" i="2"/>
  <c r="S68" i="2"/>
  <c r="S69" i="2"/>
  <c r="S70" i="2"/>
  <c r="S71" i="2"/>
  <c r="S72" i="2"/>
  <c r="S64" i="2"/>
  <c r="N87" i="2"/>
  <c r="N88" i="2"/>
  <c r="N89" i="2"/>
  <c r="N90" i="2"/>
  <c r="N91" i="2"/>
  <c r="N92" i="2"/>
  <c r="N93" i="2"/>
  <c r="N94" i="2"/>
  <c r="N86" i="2"/>
  <c r="N76" i="2"/>
  <c r="N77" i="2"/>
  <c r="N78" i="2"/>
  <c r="N79" i="2"/>
  <c r="N80" i="2"/>
  <c r="N81" i="2"/>
  <c r="N82" i="2"/>
  <c r="N83" i="2"/>
  <c r="N75" i="2"/>
  <c r="N65" i="2"/>
  <c r="N66" i="2"/>
  <c r="N67" i="2"/>
  <c r="N68" i="2"/>
  <c r="N69" i="2"/>
  <c r="N70" i="2"/>
  <c r="N71" i="2"/>
  <c r="N72" i="2"/>
  <c r="N64" i="2"/>
  <c r="I87" i="2"/>
  <c r="I88" i="2"/>
  <c r="I89" i="2"/>
  <c r="I90" i="2"/>
  <c r="I91" i="2"/>
  <c r="I92" i="2"/>
  <c r="I93" i="2"/>
  <c r="I94" i="2"/>
  <c r="I86" i="2"/>
  <c r="I76" i="2"/>
  <c r="I77" i="2"/>
  <c r="I78" i="2"/>
  <c r="I79" i="2"/>
  <c r="I80" i="2"/>
  <c r="I81" i="2"/>
  <c r="I82" i="2"/>
  <c r="I83" i="2"/>
  <c r="I75" i="2"/>
  <c r="I65" i="2"/>
  <c r="I66" i="2"/>
  <c r="I67" i="2"/>
  <c r="I68" i="2"/>
  <c r="I69" i="2"/>
  <c r="I70" i="2"/>
  <c r="I71" i="2"/>
  <c r="I72" i="2"/>
  <c r="I64" i="2"/>
  <c r="D87" i="2"/>
  <c r="D88" i="2"/>
  <c r="D89" i="2"/>
  <c r="D90" i="2"/>
  <c r="D91" i="2"/>
  <c r="D92" i="2"/>
  <c r="D93" i="2"/>
  <c r="D94" i="2"/>
  <c r="D86" i="2"/>
  <c r="D76" i="2"/>
  <c r="D77" i="2"/>
  <c r="D78" i="2"/>
  <c r="D79" i="2"/>
  <c r="D80" i="2"/>
  <c r="D81" i="2"/>
  <c r="D82" i="2"/>
  <c r="D83" i="2"/>
  <c r="D75" i="2"/>
  <c r="D65" i="2"/>
  <c r="D66" i="2"/>
  <c r="D67" i="2"/>
  <c r="D68" i="2"/>
  <c r="D69" i="2"/>
  <c r="D70" i="2"/>
  <c r="D71" i="2"/>
  <c r="D72" i="2"/>
  <c r="D64" i="2"/>
  <c r="S18" i="2"/>
  <c r="S19" i="2"/>
  <c r="S20" i="2"/>
  <c r="S21" i="2"/>
  <c r="S22" i="2"/>
  <c r="S23" i="2"/>
  <c r="S24" i="2"/>
  <c r="S25" i="2"/>
  <c r="S17" i="2"/>
  <c r="S7" i="2"/>
  <c r="S8" i="2"/>
  <c r="S9" i="2"/>
  <c r="S10" i="2"/>
  <c r="S11" i="2"/>
  <c r="S12" i="2"/>
  <c r="S13" i="2"/>
  <c r="S14" i="2"/>
  <c r="S6" i="2"/>
  <c r="N51" i="2"/>
  <c r="N52" i="2"/>
  <c r="N53" i="2"/>
  <c r="N54" i="2"/>
  <c r="N55" i="2"/>
  <c r="N56" i="2"/>
  <c r="N57" i="2"/>
  <c r="N58" i="2"/>
  <c r="N50" i="2"/>
  <c r="N40" i="2"/>
  <c r="N41" i="2"/>
  <c r="N42" i="2"/>
  <c r="N43" i="2"/>
  <c r="N44" i="2"/>
  <c r="N45" i="2"/>
  <c r="N46" i="2"/>
  <c r="N47" i="2"/>
  <c r="N39" i="2"/>
  <c r="N29" i="2"/>
  <c r="N30" i="2"/>
  <c r="N31" i="2"/>
  <c r="N32" i="2"/>
  <c r="N33" i="2"/>
  <c r="N34" i="2"/>
  <c r="N35" i="2"/>
  <c r="N36" i="2"/>
  <c r="N28" i="2"/>
  <c r="N18" i="2"/>
  <c r="N19" i="2"/>
  <c r="N20" i="2"/>
  <c r="N21" i="2"/>
  <c r="N22" i="2"/>
  <c r="N23" i="2"/>
  <c r="N24" i="2"/>
  <c r="N25" i="2"/>
  <c r="N17" i="2"/>
  <c r="N7" i="2"/>
  <c r="N8" i="2"/>
  <c r="N9" i="2"/>
  <c r="N10" i="2"/>
  <c r="N11" i="2"/>
  <c r="N12" i="2"/>
  <c r="N13" i="2"/>
  <c r="N14" i="2"/>
  <c r="N6" i="2"/>
  <c r="I51" i="2"/>
  <c r="I52" i="2"/>
  <c r="I53" i="2"/>
  <c r="I54" i="2"/>
  <c r="I55" i="2"/>
  <c r="I56" i="2"/>
  <c r="I57" i="2"/>
  <c r="I58" i="2"/>
  <c r="I50" i="2"/>
  <c r="I40" i="2"/>
  <c r="I41" i="2"/>
  <c r="I42" i="2"/>
  <c r="I43" i="2"/>
  <c r="I44" i="2"/>
  <c r="I45" i="2"/>
  <c r="I46" i="2"/>
  <c r="I47" i="2"/>
  <c r="I39" i="2"/>
  <c r="I29" i="2"/>
  <c r="I30" i="2"/>
  <c r="I31" i="2"/>
  <c r="I32" i="2"/>
  <c r="I33" i="2"/>
  <c r="I34" i="2"/>
  <c r="I35" i="2"/>
  <c r="I36" i="2"/>
  <c r="I28" i="2"/>
  <c r="I18" i="2"/>
  <c r="I19" i="2"/>
  <c r="I20" i="2"/>
  <c r="I21" i="2"/>
  <c r="I22" i="2"/>
  <c r="I23" i="2"/>
  <c r="I24" i="2"/>
  <c r="I25" i="2"/>
  <c r="I17" i="2"/>
  <c r="I7" i="2"/>
  <c r="I8" i="2"/>
  <c r="I9" i="2"/>
  <c r="I10" i="2"/>
  <c r="I11" i="2"/>
  <c r="I12" i="2"/>
  <c r="I13" i="2"/>
  <c r="I14" i="2"/>
  <c r="I6" i="2"/>
  <c r="D51" i="2"/>
  <c r="D52" i="2"/>
  <c r="D53" i="2"/>
  <c r="D54" i="2"/>
  <c r="D55" i="2"/>
  <c r="D56" i="2"/>
  <c r="D57" i="2"/>
  <c r="D58" i="2"/>
  <c r="D50" i="2"/>
  <c r="D40" i="2"/>
  <c r="D41" i="2"/>
  <c r="D42" i="2"/>
  <c r="D43" i="2"/>
  <c r="D44" i="2"/>
  <c r="D45" i="2"/>
  <c r="D46" i="2"/>
  <c r="D47" i="2"/>
  <c r="D39" i="2"/>
  <c r="D29" i="2"/>
  <c r="D30" i="2"/>
  <c r="D31" i="2"/>
  <c r="D32" i="2"/>
  <c r="D33" i="2"/>
  <c r="D34" i="2"/>
  <c r="D35" i="2"/>
  <c r="D36" i="2"/>
  <c r="D28" i="2"/>
  <c r="D18" i="2"/>
  <c r="D19" i="2"/>
  <c r="D20" i="2"/>
  <c r="D21" i="2"/>
  <c r="D22" i="2"/>
  <c r="D23" i="2"/>
  <c r="D24" i="2"/>
  <c r="D25" i="2"/>
  <c r="D17" i="2"/>
  <c r="D7" i="2"/>
  <c r="D8" i="2"/>
  <c r="D9" i="2"/>
  <c r="D10" i="2"/>
  <c r="D11" i="2"/>
  <c r="D12" i="2"/>
  <c r="D13" i="2"/>
  <c r="D14" i="2"/>
  <c r="D6" i="2"/>
  <c r="F4" i="12" l="1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234" i="12"/>
  <c r="F235" i="12"/>
  <c r="F236" i="12"/>
  <c r="F237" i="12"/>
  <c r="F238" i="12"/>
  <c r="F239" i="12"/>
  <c r="F240" i="12"/>
  <c r="F241" i="12"/>
  <c r="F242" i="12"/>
  <c r="F243" i="12"/>
  <c r="F244" i="12"/>
  <c r="F245" i="12"/>
  <c r="F246" i="12"/>
  <c r="F247" i="12"/>
  <c r="F248" i="12"/>
  <c r="F249" i="12"/>
  <c r="F250" i="12"/>
  <c r="F251" i="12"/>
  <c r="F252" i="12"/>
  <c r="F253" i="12"/>
  <c r="F254" i="12"/>
  <c r="F255" i="12"/>
  <c r="F256" i="12"/>
  <c r="F257" i="12"/>
  <c r="F258" i="12"/>
  <c r="F259" i="12"/>
  <c r="F260" i="12"/>
  <c r="F261" i="12"/>
  <c r="F262" i="12"/>
  <c r="F263" i="12"/>
  <c r="F264" i="12"/>
  <c r="F265" i="12"/>
  <c r="F266" i="12"/>
  <c r="F267" i="12"/>
  <c r="F268" i="12"/>
  <c r="F269" i="12"/>
  <c r="F270" i="12"/>
  <c r="F271" i="12"/>
  <c r="F272" i="12"/>
  <c r="F273" i="12"/>
  <c r="F274" i="12"/>
  <c r="F275" i="12"/>
  <c r="F276" i="12"/>
  <c r="F277" i="12"/>
  <c r="F278" i="12"/>
  <c r="F279" i="12"/>
  <c r="F280" i="12"/>
  <c r="F281" i="12"/>
  <c r="F282" i="12"/>
  <c r="F283" i="12"/>
  <c r="F284" i="12"/>
  <c r="F285" i="12"/>
  <c r="F286" i="12"/>
  <c r="F287" i="12"/>
  <c r="F288" i="12"/>
  <c r="F289" i="12"/>
  <c r="F290" i="12"/>
  <c r="F291" i="12"/>
  <c r="F292" i="12"/>
  <c r="F293" i="12"/>
  <c r="F294" i="12"/>
  <c r="F295" i="12"/>
  <c r="F296" i="12"/>
  <c r="F297" i="12"/>
  <c r="F298" i="12"/>
  <c r="F299" i="12"/>
  <c r="F300" i="12"/>
  <c r="F301" i="12"/>
  <c r="F302" i="12"/>
  <c r="F303" i="12"/>
  <c r="F304" i="12"/>
  <c r="F305" i="12"/>
  <c r="F306" i="12"/>
  <c r="F307" i="12"/>
  <c r="F308" i="12"/>
  <c r="F3" i="12"/>
  <c r="C3" i="12" s="1"/>
  <c r="E5" i="12"/>
  <c r="E6" i="12"/>
  <c r="E7" i="12"/>
  <c r="C7" i="12" s="1"/>
  <c r="E8" i="12"/>
  <c r="E9" i="12"/>
  <c r="C9" i="12" s="1"/>
  <c r="E10" i="12"/>
  <c r="C10" i="12" s="1"/>
  <c r="E11" i="12"/>
  <c r="C11" i="12" s="1"/>
  <c r="E12" i="12"/>
  <c r="C12" i="12" s="1"/>
  <c r="E13" i="12"/>
  <c r="E14" i="12"/>
  <c r="E15" i="12"/>
  <c r="E16" i="12"/>
  <c r="E17" i="12"/>
  <c r="E18" i="12"/>
  <c r="E19" i="12"/>
  <c r="C19" i="12" s="1"/>
  <c r="E20" i="12"/>
  <c r="C20" i="12" s="1"/>
  <c r="E21" i="12"/>
  <c r="C21" i="12" s="1"/>
  <c r="E22" i="12"/>
  <c r="C22" i="12" s="1"/>
  <c r="E23" i="12"/>
  <c r="C23" i="12" s="1"/>
  <c r="E24" i="12"/>
  <c r="C24" i="12" s="1"/>
  <c r="E25" i="12"/>
  <c r="E26" i="12"/>
  <c r="E27" i="12"/>
  <c r="E28" i="12"/>
  <c r="C28" i="12" s="1"/>
  <c r="E29" i="12"/>
  <c r="E30" i="12"/>
  <c r="E31" i="12"/>
  <c r="C31" i="12" s="1"/>
  <c r="E32" i="12"/>
  <c r="E33" i="12"/>
  <c r="C33" i="12" s="1"/>
  <c r="E34" i="12"/>
  <c r="C34" i="12" s="1"/>
  <c r="E35" i="12"/>
  <c r="C35" i="12" s="1"/>
  <c r="E36" i="12"/>
  <c r="C36" i="12" s="1"/>
  <c r="E37" i="12"/>
  <c r="E38" i="12"/>
  <c r="E39" i="12"/>
  <c r="E40" i="12"/>
  <c r="C40" i="12" s="1"/>
  <c r="E41" i="12"/>
  <c r="E42" i="12"/>
  <c r="E43" i="12"/>
  <c r="C43" i="12" s="1"/>
  <c r="E44" i="12"/>
  <c r="E45" i="12"/>
  <c r="C45" i="12" s="1"/>
  <c r="E46" i="12"/>
  <c r="C46" i="12" s="1"/>
  <c r="E47" i="12"/>
  <c r="C47" i="12" s="1"/>
  <c r="E48" i="12"/>
  <c r="C48" i="12" s="1"/>
  <c r="E49" i="12"/>
  <c r="E50" i="12"/>
  <c r="E51" i="12"/>
  <c r="E52" i="12"/>
  <c r="C52" i="12" s="1"/>
  <c r="E53" i="12"/>
  <c r="E54" i="12"/>
  <c r="E55" i="12"/>
  <c r="C55" i="12" s="1"/>
  <c r="E56" i="12"/>
  <c r="E57" i="12"/>
  <c r="C57" i="12" s="1"/>
  <c r="E58" i="12"/>
  <c r="C58" i="12" s="1"/>
  <c r="E59" i="12"/>
  <c r="C59" i="12" s="1"/>
  <c r="E60" i="12"/>
  <c r="C60" i="12" s="1"/>
  <c r="E61" i="12"/>
  <c r="E62" i="12"/>
  <c r="E63" i="12"/>
  <c r="E64" i="12"/>
  <c r="C64" i="12" s="1"/>
  <c r="E65" i="12"/>
  <c r="E66" i="12"/>
  <c r="E67" i="12"/>
  <c r="C67" i="12" s="1"/>
  <c r="E68" i="12"/>
  <c r="E69" i="12"/>
  <c r="C69" i="12" s="1"/>
  <c r="E70" i="12"/>
  <c r="C70" i="12" s="1"/>
  <c r="E71" i="12"/>
  <c r="C71" i="12" s="1"/>
  <c r="E72" i="12"/>
  <c r="C72" i="12" s="1"/>
  <c r="E73" i="12"/>
  <c r="E74" i="12"/>
  <c r="E75" i="12"/>
  <c r="E76" i="12"/>
  <c r="C76" i="12" s="1"/>
  <c r="E77" i="12"/>
  <c r="E78" i="12"/>
  <c r="E79" i="12"/>
  <c r="C79" i="12" s="1"/>
  <c r="E80" i="12"/>
  <c r="E81" i="12"/>
  <c r="C81" i="12" s="1"/>
  <c r="E82" i="12"/>
  <c r="C82" i="12" s="1"/>
  <c r="E83" i="12"/>
  <c r="C83" i="12" s="1"/>
  <c r="E84" i="12"/>
  <c r="C84" i="12" s="1"/>
  <c r="E85" i="12"/>
  <c r="E86" i="12"/>
  <c r="E87" i="12"/>
  <c r="E88" i="12"/>
  <c r="C88" i="12" s="1"/>
  <c r="E89" i="12"/>
  <c r="E90" i="12"/>
  <c r="E91" i="12"/>
  <c r="C91" i="12" s="1"/>
  <c r="E92" i="12"/>
  <c r="E93" i="12"/>
  <c r="C93" i="12" s="1"/>
  <c r="E94" i="12"/>
  <c r="C94" i="12" s="1"/>
  <c r="E95" i="12"/>
  <c r="C95" i="12" s="1"/>
  <c r="E96" i="12"/>
  <c r="C96" i="12" s="1"/>
  <c r="E97" i="12"/>
  <c r="E98" i="12"/>
  <c r="E99" i="12"/>
  <c r="E100" i="12"/>
  <c r="C100" i="12" s="1"/>
  <c r="E101" i="12"/>
  <c r="C101" i="12" s="1"/>
  <c r="E102" i="12"/>
  <c r="E103" i="12"/>
  <c r="C103" i="12" s="1"/>
  <c r="E104" i="12"/>
  <c r="E105" i="12"/>
  <c r="C105" i="12" s="1"/>
  <c r="E106" i="12"/>
  <c r="C106" i="12" s="1"/>
  <c r="E107" i="12"/>
  <c r="C107" i="12" s="1"/>
  <c r="E108" i="12"/>
  <c r="C108" i="12" s="1"/>
  <c r="E109" i="12"/>
  <c r="E110" i="12"/>
  <c r="E111" i="12"/>
  <c r="E112" i="12"/>
  <c r="C112" i="12" s="1"/>
  <c r="E113" i="12"/>
  <c r="C113" i="12" s="1"/>
  <c r="E114" i="12"/>
  <c r="E115" i="12"/>
  <c r="C115" i="12" s="1"/>
  <c r="E116" i="12"/>
  <c r="E117" i="12"/>
  <c r="E118" i="12"/>
  <c r="C118" i="12" s="1"/>
  <c r="E119" i="12"/>
  <c r="C119" i="12" s="1"/>
  <c r="E120" i="12"/>
  <c r="C120" i="12" s="1"/>
  <c r="E121" i="12"/>
  <c r="E122" i="12"/>
  <c r="E123" i="12"/>
  <c r="E124" i="12"/>
  <c r="C124" i="12" s="1"/>
  <c r="E125" i="12"/>
  <c r="C125" i="12" s="1"/>
  <c r="E126" i="12"/>
  <c r="E127" i="12"/>
  <c r="C127" i="12" s="1"/>
  <c r="E128" i="12"/>
  <c r="E129" i="12"/>
  <c r="E130" i="12"/>
  <c r="C130" i="12" s="1"/>
  <c r="E131" i="12"/>
  <c r="C131" i="12" s="1"/>
  <c r="E132" i="12"/>
  <c r="C132" i="12" s="1"/>
  <c r="E133" i="12"/>
  <c r="C133" i="12" s="1"/>
  <c r="E134" i="12"/>
  <c r="E135" i="12"/>
  <c r="E136" i="12"/>
  <c r="C136" i="12" s="1"/>
  <c r="E137" i="12"/>
  <c r="C137" i="12" s="1"/>
  <c r="E138" i="12"/>
  <c r="E139" i="12"/>
  <c r="C139" i="12" s="1"/>
  <c r="E140" i="12"/>
  <c r="E141" i="12"/>
  <c r="E142" i="12"/>
  <c r="C142" i="12" s="1"/>
  <c r="E143" i="12"/>
  <c r="C143" i="12" s="1"/>
  <c r="E144" i="12"/>
  <c r="C144" i="12" s="1"/>
  <c r="E145" i="12"/>
  <c r="E146" i="12"/>
  <c r="E147" i="12"/>
  <c r="E148" i="12"/>
  <c r="C148" i="12" s="1"/>
  <c r="E149" i="12"/>
  <c r="C149" i="12" s="1"/>
  <c r="E150" i="12"/>
  <c r="E151" i="12"/>
  <c r="C151" i="12" s="1"/>
  <c r="E152" i="12"/>
  <c r="E153" i="12"/>
  <c r="E154" i="12"/>
  <c r="C154" i="12" s="1"/>
  <c r="E155" i="12"/>
  <c r="C155" i="12" s="1"/>
  <c r="E156" i="12"/>
  <c r="C156" i="12" s="1"/>
  <c r="E157" i="12"/>
  <c r="E158" i="12"/>
  <c r="E159" i="12"/>
  <c r="E160" i="12"/>
  <c r="E161" i="12"/>
  <c r="E162" i="12"/>
  <c r="E163" i="12"/>
  <c r="E164" i="12"/>
  <c r="E165" i="12"/>
  <c r="E166" i="12"/>
  <c r="E167" i="12"/>
  <c r="C167" i="12" s="1"/>
  <c r="E168" i="12"/>
  <c r="E169" i="12"/>
  <c r="E170" i="12"/>
  <c r="E171" i="12"/>
  <c r="E172" i="12"/>
  <c r="C172" i="12" s="1"/>
  <c r="E173" i="12"/>
  <c r="E174" i="12"/>
  <c r="E175" i="12"/>
  <c r="E176" i="12"/>
  <c r="E177" i="12"/>
  <c r="E178" i="12"/>
  <c r="C178" i="12" s="1"/>
  <c r="E179" i="12"/>
  <c r="C179" i="12" s="1"/>
  <c r="E180" i="12"/>
  <c r="E181" i="12"/>
  <c r="E182" i="12"/>
  <c r="E183" i="12"/>
  <c r="E184" i="12"/>
  <c r="E185" i="12"/>
  <c r="C185" i="12" s="1"/>
  <c r="E186" i="12"/>
  <c r="E187" i="12"/>
  <c r="E188" i="12"/>
  <c r="E189" i="12"/>
  <c r="E190" i="12"/>
  <c r="E191" i="12"/>
  <c r="E192" i="12"/>
  <c r="E193" i="12"/>
  <c r="E194" i="12"/>
  <c r="E195" i="12"/>
  <c r="E196" i="12"/>
  <c r="C196" i="12" s="1"/>
  <c r="E197" i="12"/>
  <c r="E198" i="12"/>
  <c r="E199" i="12"/>
  <c r="C199" i="12" s="1"/>
  <c r="E200" i="12"/>
  <c r="E201" i="12"/>
  <c r="E202" i="12"/>
  <c r="E203" i="12"/>
  <c r="E204" i="12"/>
  <c r="E205" i="12"/>
  <c r="E206" i="12"/>
  <c r="E207" i="12"/>
  <c r="E208" i="12"/>
  <c r="E209" i="12"/>
  <c r="C209" i="12" s="1"/>
  <c r="E210" i="12"/>
  <c r="E211" i="12"/>
  <c r="E212" i="12"/>
  <c r="E213" i="12"/>
  <c r="E214" i="12"/>
  <c r="C214" i="12" s="1"/>
  <c r="E215" i="12"/>
  <c r="C215" i="12" s="1"/>
  <c r="E216" i="12"/>
  <c r="C216" i="12" s="1"/>
  <c r="E217" i="12"/>
  <c r="E218" i="12"/>
  <c r="E219" i="12"/>
  <c r="E220" i="12"/>
  <c r="C220" i="12" s="1"/>
  <c r="E221" i="12"/>
  <c r="C221" i="12" s="1"/>
  <c r="E222" i="12"/>
  <c r="C222" i="12" s="1"/>
  <c r="E223" i="12"/>
  <c r="C223" i="12" s="1"/>
  <c r="E224" i="12"/>
  <c r="E225" i="12"/>
  <c r="E226" i="12"/>
  <c r="C226" i="12" s="1"/>
  <c r="E227" i="12"/>
  <c r="C227" i="12" s="1"/>
  <c r="E228" i="12"/>
  <c r="C228" i="12" s="1"/>
  <c r="E229" i="12"/>
  <c r="E230" i="12"/>
  <c r="E231" i="12"/>
  <c r="E232" i="12"/>
  <c r="C232" i="12" s="1"/>
  <c r="E233" i="12"/>
  <c r="C233" i="12" s="1"/>
  <c r="E234" i="12"/>
  <c r="E235" i="12"/>
  <c r="C235" i="12" s="1"/>
  <c r="E236" i="12"/>
  <c r="E237" i="12"/>
  <c r="E238" i="12"/>
  <c r="C238" i="12" s="1"/>
  <c r="E239" i="12"/>
  <c r="C239" i="12" s="1"/>
  <c r="E240" i="12"/>
  <c r="C240" i="12" s="1"/>
  <c r="E241" i="12"/>
  <c r="E242" i="12"/>
  <c r="E243" i="12"/>
  <c r="E244" i="12"/>
  <c r="C244" i="12" s="1"/>
  <c r="E245" i="12"/>
  <c r="C245" i="12" s="1"/>
  <c r="E246" i="12"/>
  <c r="C246" i="12" s="1"/>
  <c r="E247" i="12"/>
  <c r="C247" i="12" s="1"/>
  <c r="E248" i="12"/>
  <c r="E249" i="12"/>
  <c r="E250" i="12"/>
  <c r="C250" i="12" s="1"/>
  <c r="E251" i="12"/>
  <c r="C251" i="12" s="1"/>
  <c r="E252" i="12"/>
  <c r="C252" i="12" s="1"/>
  <c r="E253" i="12"/>
  <c r="E254" i="12"/>
  <c r="E255" i="12"/>
  <c r="E256" i="12"/>
  <c r="C256" i="12" s="1"/>
  <c r="E257" i="12"/>
  <c r="C257" i="12" s="1"/>
  <c r="E258" i="12"/>
  <c r="C258" i="12" s="1"/>
  <c r="E259" i="12"/>
  <c r="C259" i="12" s="1"/>
  <c r="E260" i="12"/>
  <c r="E261" i="12"/>
  <c r="E262" i="12"/>
  <c r="C262" i="12" s="1"/>
  <c r="E263" i="12"/>
  <c r="C263" i="12" s="1"/>
  <c r="E264" i="12"/>
  <c r="C264" i="12" s="1"/>
  <c r="E265" i="12"/>
  <c r="E266" i="12"/>
  <c r="E267" i="12"/>
  <c r="E268" i="12"/>
  <c r="C268" i="12" s="1"/>
  <c r="E269" i="12"/>
  <c r="C269" i="12" s="1"/>
  <c r="E270" i="12"/>
  <c r="C270" i="12" s="1"/>
  <c r="E271" i="12"/>
  <c r="C271" i="12" s="1"/>
  <c r="E272" i="12"/>
  <c r="E273" i="12"/>
  <c r="E274" i="12"/>
  <c r="C274" i="12" s="1"/>
  <c r="E275" i="12"/>
  <c r="C275" i="12" s="1"/>
  <c r="E276" i="12"/>
  <c r="C276" i="12" s="1"/>
  <c r="E277" i="12"/>
  <c r="C277" i="12" s="1"/>
  <c r="E278" i="12"/>
  <c r="E279" i="12"/>
  <c r="E280" i="12"/>
  <c r="C280" i="12" s="1"/>
  <c r="E281" i="12"/>
  <c r="C281" i="12" s="1"/>
  <c r="E282" i="12"/>
  <c r="C282" i="12" s="1"/>
  <c r="E283" i="12"/>
  <c r="C283" i="12" s="1"/>
  <c r="E284" i="12"/>
  <c r="E285" i="12"/>
  <c r="E286" i="12"/>
  <c r="C286" i="12" s="1"/>
  <c r="E287" i="12"/>
  <c r="C287" i="12" s="1"/>
  <c r="E288" i="12"/>
  <c r="C288" i="12" s="1"/>
  <c r="E289" i="12"/>
  <c r="E290" i="12"/>
  <c r="E291" i="12"/>
  <c r="E292" i="12"/>
  <c r="C292" i="12" s="1"/>
  <c r="E293" i="12"/>
  <c r="C293" i="12" s="1"/>
  <c r="E294" i="12"/>
  <c r="C294" i="12" s="1"/>
  <c r="E295" i="12"/>
  <c r="C295" i="12" s="1"/>
  <c r="E296" i="12"/>
  <c r="E297" i="12"/>
  <c r="E298" i="12"/>
  <c r="C298" i="12" s="1"/>
  <c r="E299" i="12"/>
  <c r="C299" i="12" s="1"/>
  <c r="E300" i="12"/>
  <c r="C300" i="12" s="1"/>
  <c r="E301" i="12"/>
  <c r="E302" i="12"/>
  <c r="E303" i="12"/>
  <c r="E304" i="12"/>
  <c r="C304" i="12" s="1"/>
  <c r="E305" i="12"/>
  <c r="C305" i="12" s="1"/>
  <c r="E306" i="12"/>
  <c r="C306" i="12" s="1"/>
  <c r="E307" i="12"/>
  <c r="C307" i="12" s="1"/>
  <c r="E308" i="12"/>
  <c r="E309" i="12"/>
  <c r="E310" i="12"/>
  <c r="E311" i="12"/>
  <c r="E312" i="12"/>
  <c r="E313" i="12"/>
  <c r="E314" i="12"/>
  <c r="E315" i="12"/>
  <c r="E316" i="12"/>
  <c r="E317" i="12"/>
  <c r="E318" i="12"/>
  <c r="E319" i="12"/>
  <c r="E320" i="12"/>
  <c r="E321" i="12"/>
  <c r="E322" i="12"/>
  <c r="E323" i="12"/>
  <c r="E324" i="12"/>
  <c r="E325" i="12"/>
  <c r="E326" i="12"/>
  <c r="E327" i="12"/>
  <c r="E328" i="12"/>
  <c r="E329" i="12"/>
  <c r="E330" i="12"/>
  <c r="E331" i="12"/>
  <c r="E332" i="12"/>
  <c r="E333" i="12"/>
  <c r="E334" i="12"/>
  <c r="E335" i="12"/>
  <c r="E336" i="12"/>
  <c r="E337" i="12"/>
  <c r="E338" i="12"/>
  <c r="E339" i="12"/>
  <c r="E340" i="12"/>
  <c r="E341" i="12"/>
  <c r="E342" i="12"/>
  <c r="E343" i="12"/>
  <c r="E344" i="12"/>
  <c r="E345" i="12"/>
  <c r="E346" i="12"/>
  <c r="E347" i="12"/>
  <c r="E348" i="12"/>
  <c r="E349" i="12"/>
  <c r="E350" i="12"/>
  <c r="E351" i="12"/>
  <c r="E352" i="12"/>
  <c r="E353" i="12"/>
  <c r="E354" i="12"/>
  <c r="E355" i="12"/>
  <c r="E356" i="12"/>
  <c r="E357" i="12"/>
  <c r="E358" i="12"/>
  <c r="E359" i="12"/>
  <c r="E360" i="12"/>
  <c r="E361" i="12"/>
  <c r="E362" i="12"/>
  <c r="E363" i="12"/>
  <c r="E364" i="12"/>
  <c r="E365" i="12"/>
  <c r="E366" i="12"/>
  <c r="E367" i="12"/>
  <c r="E368" i="12"/>
  <c r="E369" i="12"/>
  <c r="E370" i="12"/>
  <c r="E371" i="12"/>
  <c r="E372" i="12"/>
  <c r="E373" i="12"/>
  <c r="E374" i="12"/>
  <c r="E375" i="12"/>
  <c r="E376" i="12"/>
  <c r="E377" i="12"/>
  <c r="E378" i="12"/>
  <c r="E379" i="12"/>
  <c r="E380" i="12"/>
  <c r="E381" i="12"/>
  <c r="E382" i="12"/>
  <c r="E383" i="12"/>
  <c r="E384" i="12"/>
  <c r="E385" i="12"/>
  <c r="E386" i="12"/>
  <c r="E387" i="12"/>
  <c r="E388" i="12"/>
  <c r="E389" i="12"/>
  <c r="E390" i="12"/>
  <c r="E391" i="12"/>
  <c r="E392" i="12"/>
  <c r="E393" i="12"/>
  <c r="E394" i="12"/>
  <c r="E395" i="12"/>
  <c r="E396" i="12"/>
  <c r="E397" i="12"/>
  <c r="E398" i="12"/>
  <c r="E399" i="12"/>
  <c r="E400" i="12"/>
  <c r="E401" i="12"/>
  <c r="E402" i="12"/>
  <c r="E403" i="12"/>
  <c r="E404" i="12"/>
  <c r="E405" i="12"/>
  <c r="E406" i="12"/>
  <c r="E407" i="12"/>
  <c r="E408" i="12"/>
  <c r="E409" i="12"/>
  <c r="E410" i="12"/>
  <c r="E411" i="12"/>
  <c r="E412" i="12"/>
  <c r="E413" i="12"/>
  <c r="E414" i="12"/>
  <c r="E415" i="12"/>
  <c r="E416" i="12"/>
  <c r="E417" i="12"/>
  <c r="E418" i="12"/>
  <c r="E419" i="12"/>
  <c r="E420" i="12"/>
  <c r="E421" i="12"/>
  <c r="E422" i="12"/>
  <c r="E423" i="12"/>
  <c r="E424" i="12"/>
  <c r="E425" i="12"/>
  <c r="E426" i="12"/>
  <c r="E427" i="12"/>
  <c r="E428" i="12"/>
  <c r="E429" i="12"/>
  <c r="E430" i="12"/>
  <c r="E431" i="12"/>
  <c r="E432" i="12"/>
  <c r="E433" i="12"/>
  <c r="E434" i="12"/>
  <c r="E435" i="12"/>
  <c r="E436" i="12"/>
  <c r="E437" i="12"/>
  <c r="E438" i="12"/>
  <c r="E439" i="12"/>
  <c r="E440" i="12"/>
  <c r="E441" i="12"/>
  <c r="E442" i="12"/>
  <c r="E443" i="12"/>
  <c r="E444" i="12"/>
  <c r="E445" i="12"/>
  <c r="E446" i="12"/>
  <c r="E447" i="12"/>
  <c r="E448" i="12"/>
  <c r="E449" i="12"/>
  <c r="E450" i="12"/>
  <c r="E451" i="12"/>
  <c r="E452" i="12"/>
  <c r="E453" i="12"/>
  <c r="E454" i="12"/>
  <c r="E455" i="12"/>
  <c r="E456" i="12"/>
  <c r="E457" i="12"/>
  <c r="E458" i="12"/>
  <c r="E459" i="12"/>
  <c r="E460" i="12"/>
  <c r="E461" i="12"/>
  <c r="E462" i="12"/>
  <c r="E463" i="12"/>
  <c r="E464" i="12"/>
  <c r="E465" i="12"/>
  <c r="E466" i="12"/>
  <c r="E467" i="12"/>
  <c r="E468" i="12"/>
  <c r="E469" i="12"/>
  <c r="E470" i="12"/>
  <c r="E471" i="12"/>
  <c r="E472" i="12"/>
  <c r="E473" i="12"/>
  <c r="E474" i="12"/>
  <c r="E475" i="12"/>
  <c r="E476" i="12"/>
  <c r="E477" i="12"/>
  <c r="E478" i="12"/>
  <c r="E479" i="12"/>
  <c r="E480" i="12"/>
  <c r="E481" i="12"/>
  <c r="E482" i="12"/>
  <c r="E483" i="12"/>
  <c r="E484" i="12"/>
  <c r="E485" i="12"/>
  <c r="E486" i="12"/>
  <c r="E487" i="12"/>
  <c r="E488" i="12"/>
  <c r="E489" i="12"/>
  <c r="E490" i="12"/>
  <c r="E491" i="12"/>
  <c r="E492" i="12"/>
  <c r="E493" i="12"/>
  <c r="E494" i="12"/>
  <c r="E495" i="12"/>
  <c r="E496" i="12"/>
  <c r="E497" i="12"/>
  <c r="E498" i="12"/>
  <c r="E499" i="12"/>
  <c r="E500" i="12"/>
  <c r="E501" i="12"/>
  <c r="E502" i="12"/>
  <c r="E503" i="12"/>
  <c r="E504" i="12"/>
  <c r="E505" i="12"/>
  <c r="E506" i="12"/>
  <c r="E507" i="12"/>
  <c r="E508" i="12"/>
  <c r="E509" i="12"/>
  <c r="E510" i="12"/>
  <c r="E511" i="12"/>
  <c r="E512" i="12"/>
  <c r="E513" i="12"/>
  <c r="E514" i="12"/>
  <c r="E515" i="12"/>
  <c r="E516" i="12"/>
  <c r="E517" i="12"/>
  <c r="E518" i="12"/>
  <c r="E519" i="12"/>
  <c r="E520" i="12"/>
  <c r="E521" i="12"/>
  <c r="E522" i="12"/>
  <c r="E523" i="12"/>
  <c r="E524" i="12"/>
  <c r="E525" i="12"/>
  <c r="E526" i="12"/>
  <c r="E527" i="12"/>
  <c r="E528" i="12"/>
  <c r="E529" i="12"/>
  <c r="E530" i="12"/>
  <c r="E531" i="12"/>
  <c r="E532" i="12"/>
  <c r="E533" i="12"/>
  <c r="E534" i="12"/>
  <c r="E535" i="12"/>
  <c r="E536" i="12"/>
  <c r="E537" i="12"/>
  <c r="E538" i="12"/>
  <c r="E539" i="12"/>
  <c r="E540" i="12"/>
  <c r="E541" i="12"/>
  <c r="E542" i="12"/>
  <c r="E543" i="12"/>
  <c r="E544" i="12"/>
  <c r="E545" i="12"/>
  <c r="E546" i="12"/>
  <c r="E547" i="12"/>
  <c r="E548" i="12"/>
  <c r="E549" i="12"/>
  <c r="E550" i="12"/>
  <c r="E551" i="12"/>
  <c r="E552" i="12"/>
  <c r="E553" i="12"/>
  <c r="E554" i="12"/>
  <c r="E555" i="12"/>
  <c r="E556" i="12"/>
  <c r="E557" i="12"/>
  <c r="E558" i="12"/>
  <c r="E559" i="12"/>
  <c r="E560" i="12"/>
  <c r="E561" i="12"/>
  <c r="E562" i="12"/>
  <c r="E563" i="12"/>
  <c r="E564" i="12"/>
  <c r="E565" i="12"/>
  <c r="E566" i="12"/>
  <c r="E567" i="12"/>
  <c r="E568" i="12"/>
  <c r="E569" i="12"/>
  <c r="E570" i="12"/>
  <c r="E571" i="12"/>
  <c r="E572" i="12"/>
  <c r="E573" i="12"/>
  <c r="E574" i="12"/>
  <c r="E575" i="12"/>
  <c r="E576" i="12"/>
  <c r="E577" i="12"/>
  <c r="E578" i="12"/>
  <c r="E579" i="12"/>
  <c r="E580" i="12"/>
  <c r="E581" i="12"/>
  <c r="E582" i="12"/>
  <c r="E583" i="12"/>
  <c r="E584" i="12"/>
  <c r="E585" i="12"/>
  <c r="E586" i="12"/>
  <c r="E587" i="12"/>
  <c r="E588" i="12"/>
  <c r="E589" i="12"/>
  <c r="E590" i="12"/>
  <c r="E591" i="12"/>
  <c r="E592" i="12"/>
  <c r="E593" i="12"/>
  <c r="E594" i="12"/>
  <c r="E595" i="12"/>
  <c r="E596" i="12"/>
  <c r="E597" i="12"/>
  <c r="E598" i="12"/>
  <c r="E599" i="12"/>
  <c r="E600" i="12"/>
  <c r="E601" i="12"/>
  <c r="E602" i="12"/>
  <c r="E603" i="12"/>
  <c r="E604" i="12"/>
  <c r="E605" i="12"/>
  <c r="E606" i="12"/>
  <c r="E607" i="12"/>
  <c r="E608" i="12"/>
  <c r="E609" i="12"/>
  <c r="E610" i="12"/>
  <c r="E611" i="12"/>
  <c r="E612" i="12"/>
  <c r="E613" i="12"/>
  <c r="E614" i="12"/>
  <c r="E615" i="12"/>
  <c r="E616" i="12"/>
  <c r="E617" i="12"/>
  <c r="E618" i="12"/>
  <c r="E619" i="12"/>
  <c r="E620" i="12"/>
  <c r="E621" i="12"/>
  <c r="E622" i="12"/>
  <c r="E623" i="12"/>
  <c r="E624" i="12"/>
  <c r="E625" i="12"/>
  <c r="E626" i="12"/>
  <c r="E627" i="12"/>
  <c r="E628" i="12"/>
  <c r="E629" i="12"/>
  <c r="E630" i="12"/>
  <c r="E631" i="12"/>
  <c r="E632" i="12"/>
  <c r="E633" i="12"/>
  <c r="E634" i="12"/>
  <c r="E635" i="12"/>
  <c r="E636" i="12"/>
  <c r="E637" i="12"/>
  <c r="E638" i="12"/>
  <c r="E639" i="12"/>
  <c r="E640" i="12"/>
  <c r="E641" i="12"/>
  <c r="E642" i="12"/>
  <c r="E643" i="12"/>
  <c r="E644" i="12"/>
  <c r="E645" i="12"/>
  <c r="E646" i="12"/>
  <c r="E647" i="12"/>
  <c r="E648" i="12"/>
  <c r="E649" i="12"/>
  <c r="E650" i="12"/>
  <c r="E651" i="12"/>
  <c r="E652" i="12"/>
  <c r="E653" i="12"/>
  <c r="E654" i="12"/>
  <c r="E655" i="12"/>
  <c r="E656" i="12"/>
  <c r="E657" i="12"/>
  <c r="E658" i="12"/>
  <c r="E659" i="12"/>
  <c r="E660" i="12"/>
  <c r="E661" i="12"/>
  <c r="E662" i="12"/>
  <c r="E663" i="12"/>
  <c r="E664" i="12"/>
  <c r="E665" i="12"/>
  <c r="E666" i="12"/>
  <c r="E667" i="12"/>
  <c r="E668" i="12"/>
  <c r="E669" i="12"/>
  <c r="E670" i="12"/>
  <c r="E671" i="12"/>
  <c r="E672" i="12"/>
  <c r="E673" i="12"/>
  <c r="E674" i="12"/>
  <c r="E675" i="12"/>
  <c r="E676" i="12"/>
  <c r="E677" i="12"/>
  <c r="E678" i="12"/>
  <c r="E679" i="12"/>
  <c r="E680" i="12"/>
  <c r="E681" i="12"/>
  <c r="E682" i="12"/>
  <c r="E683" i="12"/>
  <c r="E684" i="12"/>
  <c r="E685" i="12"/>
  <c r="E686" i="12"/>
  <c r="E687" i="12"/>
  <c r="E688" i="12"/>
  <c r="E689" i="12"/>
  <c r="E690" i="12"/>
  <c r="E691" i="12"/>
  <c r="E692" i="12"/>
  <c r="E693" i="12"/>
  <c r="E694" i="12"/>
  <c r="E695" i="12"/>
  <c r="E696" i="12"/>
  <c r="E697" i="12"/>
  <c r="E698" i="12"/>
  <c r="E699" i="12"/>
  <c r="E700" i="12"/>
  <c r="E701" i="12"/>
  <c r="E702" i="12"/>
  <c r="E703" i="12"/>
  <c r="E704" i="12"/>
  <c r="E705" i="12"/>
  <c r="E706" i="12"/>
  <c r="E707" i="12"/>
  <c r="E708" i="12"/>
  <c r="E709" i="12"/>
  <c r="E710" i="12"/>
  <c r="E711" i="12"/>
  <c r="E712" i="12"/>
  <c r="E713" i="12"/>
  <c r="E714" i="12"/>
  <c r="E715" i="12"/>
  <c r="E716" i="12"/>
  <c r="E717" i="12"/>
  <c r="E718" i="12"/>
  <c r="E719" i="12"/>
  <c r="E720" i="12"/>
  <c r="E721" i="12"/>
  <c r="E722" i="12"/>
  <c r="E723" i="12"/>
  <c r="E724" i="12"/>
  <c r="E725" i="12"/>
  <c r="E726" i="12"/>
  <c r="E727" i="12"/>
  <c r="E728" i="12"/>
  <c r="E729" i="12"/>
  <c r="E730" i="12"/>
  <c r="E731" i="12"/>
  <c r="E732" i="12"/>
  <c r="E733" i="12"/>
  <c r="E734" i="12"/>
  <c r="E735" i="12"/>
  <c r="E736" i="12"/>
  <c r="E737" i="12"/>
  <c r="E738" i="12"/>
  <c r="E739" i="12"/>
  <c r="E740" i="12"/>
  <c r="E741" i="12"/>
  <c r="E742" i="12"/>
  <c r="E743" i="12"/>
  <c r="E744" i="12"/>
  <c r="E745" i="12"/>
  <c r="E746" i="12"/>
  <c r="E747" i="12"/>
  <c r="E748" i="12"/>
  <c r="E749" i="12"/>
  <c r="E750" i="12"/>
  <c r="E751" i="12"/>
  <c r="E752" i="12"/>
  <c r="E753" i="12"/>
  <c r="E754" i="12"/>
  <c r="E755" i="12"/>
  <c r="E756" i="12"/>
  <c r="E757" i="12"/>
  <c r="E758" i="12"/>
  <c r="E759" i="12"/>
  <c r="E760" i="12"/>
  <c r="E761" i="12"/>
  <c r="E762" i="12"/>
  <c r="E763" i="12"/>
  <c r="E764" i="12"/>
  <c r="E765" i="12"/>
  <c r="E766" i="12"/>
  <c r="E767" i="12"/>
  <c r="E768" i="12"/>
  <c r="E769" i="12"/>
  <c r="E770" i="12"/>
  <c r="E771" i="12"/>
  <c r="E772" i="12"/>
  <c r="E773" i="12"/>
  <c r="E774" i="12"/>
  <c r="E775" i="12"/>
  <c r="E776" i="12"/>
  <c r="E777" i="12"/>
  <c r="E778" i="12"/>
  <c r="E779" i="12"/>
  <c r="E780" i="12"/>
  <c r="E781" i="12"/>
  <c r="E782" i="12"/>
  <c r="E783" i="12"/>
  <c r="E784" i="12"/>
  <c r="E785" i="12"/>
  <c r="E786" i="12"/>
  <c r="E787" i="12"/>
  <c r="E788" i="12"/>
  <c r="E789" i="12"/>
  <c r="E790" i="12"/>
  <c r="E791" i="12"/>
  <c r="E792" i="12"/>
  <c r="E793" i="12"/>
  <c r="E794" i="12"/>
  <c r="E795" i="12"/>
  <c r="E796" i="12"/>
  <c r="E797" i="12"/>
  <c r="E798" i="12"/>
  <c r="E799" i="12"/>
  <c r="E800" i="12"/>
  <c r="E801" i="12"/>
  <c r="E802" i="12"/>
  <c r="E803" i="12"/>
  <c r="E804" i="12"/>
  <c r="E805" i="12"/>
  <c r="E806" i="12"/>
  <c r="E807" i="12"/>
  <c r="E808" i="12"/>
  <c r="E809" i="12"/>
  <c r="E810" i="12"/>
  <c r="E811" i="12"/>
  <c r="E812" i="12"/>
  <c r="E813" i="12"/>
  <c r="E814" i="12"/>
  <c r="E815" i="12"/>
  <c r="E816" i="12"/>
  <c r="E817" i="12"/>
  <c r="E818" i="12"/>
  <c r="E819" i="12"/>
  <c r="E820" i="12"/>
  <c r="E821" i="12"/>
  <c r="E822" i="12"/>
  <c r="E823" i="12"/>
  <c r="E824" i="12"/>
  <c r="E825" i="12"/>
  <c r="E826" i="12"/>
  <c r="E827" i="12"/>
  <c r="E828" i="12"/>
  <c r="E829" i="12"/>
  <c r="E830" i="12"/>
  <c r="E831" i="12"/>
  <c r="E832" i="12"/>
  <c r="E833" i="12"/>
  <c r="E834" i="12"/>
  <c r="E835" i="12"/>
  <c r="E836" i="12"/>
  <c r="E837" i="12"/>
  <c r="E838" i="12"/>
  <c r="E839" i="12"/>
  <c r="E840" i="12"/>
  <c r="E841" i="12"/>
  <c r="E842" i="12"/>
  <c r="E843" i="12"/>
  <c r="E844" i="12"/>
  <c r="E845" i="12"/>
  <c r="E846" i="12"/>
  <c r="E847" i="12"/>
  <c r="E848" i="12"/>
  <c r="E849" i="12"/>
  <c r="E850" i="12"/>
  <c r="E851" i="12"/>
  <c r="E852" i="12"/>
  <c r="E853" i="12"/>
  <c r="E854" i="12"/>
  <c r="E855" i="12"/>
  <c r="E856" i="12"/>
  <c r="E857" i="12"/>
  <c r="E858" i="12"/>
  <c r="E859" i="12"/>
  <c r="E860" i="12"/>
  <c r="E861" i="12"/>
  <c r="E862" i="12"/>
  <c r="E863" i="12"/>
  <c r="E864" i="12"/>
  <c r="E865" i="12"/>
  <c r="E866" i="12"/>
  <c r="E867" i="12"/>
  <c r="E868" i="12"/>
  <c r="E869" i="12"/>
  <c r="E870" i="12"/>
  <c r="E871" i="12"/>
  <c r="E872" i="12"/>
  <c r="E873" i="12"/>
  <c r="E874" i="12"/>
  <c r="E875" i="12"/>
  <c r="C211" i="12" l="1"/>
  <c r="C204" i="12"/>
  <c r="C203" i="12"/>
  <c r="C202" i="12"/>
  <c r="C208" i="12"/>
  <c r="C197" i="12"/>
  <c r="C192" i="12"/>
  <c r="C191" i="12"/>
  <c r="C190" i="12"/>
  <c r="C187" i="12"/>
  <c r="C184" i="12"/>
  <c r="C181" i="12"/>
  <c r="C180" i="12"/>
  <c r="C175" i="12"/>
  <c r="C173" i="12"/>
  <c r="C168" i="12"/>
  <c r="C166" i="12"/>
  <c r="C163" i="12"/>
  <c r="C161" i="12"/>
  <c r="C160" i="12"/>
  <c r="C234" i="12"/>
  <c r="C210" i="12"/>
  <c r="C198" i="12"/>
  <c r="C186" i="12"/>
  <c r="C174" i="12"/>
  <c r="C162" i="12"/>
  <c r="C308" i="12"/>
  <c r="C296" i="12"/>
  <c r="C284" i="12"/>
  <c r="C272" i="12"/>
  <c r="C260" i="12"/>
  <c r="C248" i="12"/>
  <c r="C236" i="12"/>
  <c r="C224" i="12"/>
  <c r="C212" i="12"/>
  <c r="C200" i="12"/>
  <c r="C188" i="12"/>
  <c r="C176" i="12"/>
  <c r="C164" i="12"/>
  <c r="C152" i="12"/>
  <c r="C140" i="12"/>
  <c r="C128" i="12"/>
  <c r="C116" i="12"/>
  <c r="C104" i="12"/>
  <c r="C92" i="12"/>
  <c r="C89" i="12"/>
  <c r="C77" i="12"/>
  <c r="C65" i="12"/>
  <c r="C53" i="12"/>
  <c r="C41" i="12"/>
  <c r="C29" i="12"/>
  <c r="C17" i="12"/>
  <c r="C5" i="12"/>
  <c r="C80" i="12"/>
  <c r="C68" i="12"/>
  <c r="C56" i="12"/>
  <c r="C44" i="12"/>
  <c r="C32" i="12"/>
  <c r="C8" i="12"/>
  <c r="C114" i="12"/>
  <c r="C301" i="12"/>
  <c r="C289" i="12"/>
  <c r="C265" i="12"/>
  <c r="C253" i="12"/>
  <c r="C241" i="12"/>
  <c r="C229" i="12"/>
  <c r="C217" i="12"/>
  <c r="C205" i="12"/>
  <c r="C193" i="12"/>
  <c r="C169" i="12"/>
  <c r="C157" i="12"/>
  <c r="C145" i="12"/>
  <c r="C121" i="12"/>
  <c r="C109" i="12"/>
  <c r="C97" i="12"/>
  <c r="C85" i="12"/>
  <c r="C73" i="12"/>
  <c r="C61" i="12"/>
  <c r="C49" i="12"/>
  <c r="C37" i="12"/>
  <c r="C25" i="12"/>
  <c r="C13" i="12"/>
  <c r="C297" i="12"/>
  <c r="C285" i="12"/>
  <c r="C273" i="12"/>
  <c r="C261" i="12"/>
  <c r="C249" i="12"/>
  <c r="C237" i="12"/>
  <c r="C225" i="12"/>
  <c r="C213" i="12"/>
  <c r="C201" i="12"/>
  <c r="C189" i="12"/>
  <c r="C177" i="12"/>
  <c r="C165" i="12"/>
  <c r="C153" i="12"/>
  <c r="C141" i="12"/>
  <c r="C129" i="12"/>
  <c r="C117" i="12"/>
  <c r="C195" i="12"/>
  <c r="C50" i="12"/>
  <c r="C150" i="12"/>
  <c r="C138" i="12"/>
  <c r="C126" i="12"/>
  <c r="C102" i="12"/>
  <c r="C90" i="12"/>
  <c r="C78" i="12"/>
  <c r="C66" i="12"/>
  <c r="C54" i="12"/>
  <c r="C42" i="12"/>
  <c r="C30" i="12"/>
  <c r="C18" i="12"/>
  <c r="C6" i="12"/>
  <c r="C302" i="12"/>
  <c r="C290" i="12"/>
  <c r="C278" i="12"/>
  <c r="C266" i="12"/>
  <c r="C254" i="12"/>
  <c r="C242" i="12"/>
  <c r="C230" i="12"/>
  <c r="C218" i="12"/>
  <c r="C206" i="12"/>
  <c r="C194" i="12"/>
  <c r="C182" i="12"/>
  <c r="C170" i="12"/>
  <c r="C158" i="12"/>
  <c r="C146" i="12"/>
  <c r="C134" i="12"/>
  <c r="C122" i="12"/>
  <c r="C110" i="12"/>
  <c r="C98" i="12"/>
  <c r="C86" i="12"/>
  <c r="C74" i="12"/>
  <c r="C62" i="12"/>
  <c r="C38" i="12"/>
  <c r="C26" i="12"/>
  <c r="C14" i="12"/>
  <c r="C16" i="12"/>
  <c r="C4" i="12"/>
  <c r="C303" i="12"/>
  <c r="C291" i="12"/>
  <c r="C279" i="12"/>
  <c r="C267" i="12"/>
  <c r="C255" i="12"/>
  <c r="C243" i="12"/>
  <c r="C231" i="12"/>
  <c r="C219" i="12"/>
  <c r="C207" i="12"/>
  <c r="C183" i="12"/>
  <c r="C171" i="12"/>
  <c r="C159" i="12"/>
  <c r="C147" i="12"/>
  <c r="C135" i="12"/>
  <c r="C123" i="12"/>
  <c r="C111" i="12"/>
  <c r="C99" i="12"/>
  <c r="C87" i="12"/>
  <c r="C75" i="12"/>
  <c r="C63" i="12"/>
  <c r="C51" i="12"/>
  <c r="C39" i="12"/>
  <c r="C27" i="12"/>
  <c r="C15" i="12"/>
  <c r="H307" i="12"/>
  <c r="H295" i="12"/>
  <c r="H283" i="12"/>
  <c r="H271" i="12"/>
  <c r="H259" i="12"/>
  <c r="H247" i="12"/>
  <c r="H235" i="12"/>
  <c r="H223" i="12"/>
  <c r="H211" i="12"/>
  <c r="H199" i="12"/>
  <c r="H187" i="12"/>
  <c r="H175" i="12"/>
  <c r="H163" i="12"/>
  <c r="H151" i="12"/>
  <c r="H139" i="12"/>
  <c r="H127" i="12"/>
  <c r="H115" i="12"/>
  <c r="H103" i="12"/>
  <c r="H91" i="12"/>
  <c r="H79" i="12"/>
  <c r="H67" i="12"/>
  <c r="H55" i="12"/>
  <c r="H43" i="12"/>
  <c r="H31" i="12"/>
  <c r="H19" i="12"/>
  <c r="H7" i="12"/>
  <c r="H304" i="12"/>
  <c r="H292" i="12"/>
  <c r="H280" i="12"/>
  <c r="H268" i="12"/>
  <c r="H256" i="12"/>
  <c r="H244" i="12"/>
  <c r="H232" i="12"/>
  <c r="H220" i="12"/>
  <c r="H208" i="12"/>
  <c r="H196" i="12"/>
  <c r="H184" i="12"/>
  <c r="H172" i="12"/>
  <c r="H160" i="12"/>
  <c r="H148" i="12"/>
  <c r="H136" i="12"/>
  <c r="H124" i="12"/>
  <c r="H112" i="12"/>
  <c r="H100" i="12"/>
  <c r="H88" i="12"/>
  <c r="H76" i="12"/>
  <c r="H64" i="12"/>
  <c r="H52" i="12"/>
  <c r="H40" i="12"/>
  <c r="H16" i="12"/>
  <c r="H4" i="12"/>
  <c r="H300" i="12"/>
  <c r="H288" i="12"/>
  <c r="H276" i="12"/>
  <c r="H264" i="12"/>
  <c r="H252" i="12"/>
  <c r="H240" i="12"/>
  <c r="H228" i="12"/>
  <c r="H216" i="12"/>
  <c r="H204" i="12"/>
  <c r="H192" i="12"/>
  <c r="H180" i="12"/>
  <c r="H168" i="12"/>
  <c r="H156" i="12"/>
  <c r="H144" i="12"/>
  <c r="H132" i="12"/>
  <c r="H120" i="12"/>
  <c r="H108" i="12"/>
  <c r="H96" i="12"/>
  <c r="H84" i="12"/>
  <c r="H72" i="12"/>
  <c r="H60" i="12"/>
  <c r="H48" i="12"/>
  <c r="H36" i="12"/>
  <c r="H24" i="12"/>
  <c r="H28" i="12"/>
  <c r="H308" i="12"/>
  <c r="H296" i="12"/>
  <c r="H284" i="12"/>
  <c r="H272" i="12"/>
  <c r="H260" i="12"/>
  <c r="H248" i="12"/>
  <c r="H236" i="12"/>
  <c r="H224" i="12"/>
  <c r="H212" i="12"/>
  <c r="H200" i="12"/>
  <c r="H188" i="12"/>
  <c r="H176" i="12"/>
  <c r="H164" i="12"/>
  <c r="H152" i="12"/>
  <c r="H140" i="12"/>
  <c r="H128" i="12"/>
  <c r="H116" i="12"/>
  <c r="H104" i="12"/>
  <c r="H92" i="12"/>
  <c r="H80" i="12"/>
  <c r="H68" i="12"/>
  <c r="H56" i="12"/>
  <c r="H44" i="12"/>
  <c r="H32" i="12"/>
  <c r="H20" i="12"/>
  <c r="H8" i="12"/>
  <c r="H306" i="12"/>
  <c r="H294" i="12"/>
  <c r="H282" i="12"/>
  <c r="H270" i="12"/>
  <c r="H258" i="12"/>
  <c r="H246" i="12"/>
  <c r="H234" i="12"/>
  <c r="H222" i="12"/>
  <c r="H210" i="12"/>
  <c r="H198" i="12"/>
  <c r="H186" i="12"/>
  <c r="H174" i="12"/>
  <c r="H162" i="12"/>
  <c r="H150" i="12"/>
  <c r="H138" i="12"/>
  <c r="H126" i="12"/>
  <c r="H114" i="12"/>
  <c r="H102" i="12"/>
  <c r="H90" i="12"/>
  <c r="H78" i="12"/>
  <c r="H299" i="12"/>
  <c r="H287" i="12"/>
  <c r="H275" i="12"/>
  <c r="H263" i="12"/>
  <c r="H251" i="12"/>
  <c r="H239" i="12"/>
  <c r="H227" i="12"/>
  <c r="H215" i="12"/>
  <c r="H203" i="12"/>
  <c r="H191" i="12"/>
  <c r="H179" i="12"/>
  <c r="H167" i="12"/>
  <c r="H155" i="12"/>
  <c r="H143" i="12"/>
  <c r="H131" i="12"/>
  <c r="H119" i="12"/>
  <c r="H107" i="12"/>
  <c r="H95" i="12"/>
  <c r="H83" i="12"/>
  <c r="H71" i="12"/>
  <c r="H59" i="12"/>
  <c r="H47" i="12"/>
  <c r="H35" i="12"/>
  <c r="H23" i="12"/>
  <c r="H11" i="12"/>
  <c r="H298" i="12"/>
  <c r="H286" i="12"/>
  <c r="H274" i="12"/>
  <c r="H262" i="12"/>
  <c r="H250" i="12"/>
  <c r="H238" i="12"/>
  <c r="H226" i="12"/>
  <c r="H214" i="12"/>
  <c r="H202" i="12"/>
  <c r="H190" i="12"/>
  <c r="H178" i="12"/>
  <c r="H166" i="12"/>
  <c r="H154" i="12"/>
  <c r="H142" i="12"/>
  <c r="H297" i="12"/>
  <c r="H285" i="12"/>
  <c r="H273" i="12"/>
  <c r="H261" i="12"/>
  <c r="H249" i="12"/>
  <c r="H237" i="12"/>
  <c r="H225" i="12"/>
  <c r="H213" i="12"/>
  <c r="H201" i="12"/>
  <c r="H189" i="12"/>
  <c r="H177" i="12"/>
  <c r="H165" i="12"/>
  <c r="H153" i="12"/>
  <c r="H141" i="12"/>
  <c r="H129" i="12"/>
  <c r="H117" i="12"/>
  <c r="H105" i="12"/>
  <c r="H93" i="12"/>
  <c r="H81" i="12"/>
  <c r="H69" i="12"/>
  <c r="H57" i="12"/>
  <c r="H45" i="12"/>
  <c r="H33" i="12"/>
  <c r="H21" i="12"/>
  <c r="H9" i="12"/>
  <c r="H66" i="12"/>
  <c r="H54" i="12"/>
  <c r="H42" i="12"/>
  <c r="H30" i="12"/>
  <c r="H18" i="12"/>
  <c r="H6" i="12"/>
  <c r="H305" i="12"/>
  <c r="H293" i="12"/>
  <c r="H281" i="12"/>
  <c r="H269" i="12"/>
  <c r="H257" i="12"/>
  <c r="H245" i="12"/>
  <c r="H233" i="12"/>
  <c r="H221" i="12"/>
  <c r="H209" i="12"/>
  <c r="H197" i="12"/>
  <c r="H185" i="12"/>
  <c r="H173" i="12"/>
  <c r="H161" i="12"/>
  <c r="H149" i="12"/>
  <c r="H137" i="12"/>
  <c r="H125" i="12"/>
  <c r="H113" i="12"/>
  <c r="H130" i="12"/>
  <c r="H118" i="12"/>
  <c r="H106" i="12"/>
  <c r="H94" i="12"/>
  <c r="H82" i="12"/>
  <c r="H70" i="12"/>
  <c r="H58" i="12"/>
  <c r="H46" i="12"/>
  <c r="H34" i="12"/>
  <c r="H22" i="12"/>
  <c r="H10" i="12"/>
  <c r="H101" i="12"/>
  <c r="H89" i="12"/>
  <c r="H77" i="12"/>
  <c r="H65" i="12"/>
  <c r="H53" i="12"/>
  <c r="H41" i="12"/>
  <c r="H29" i="12"/>
  <c r="H17" i="12"/>
  <c r="H5" i="12"/>
  <c r="H3" i="12"/>
  <c r="H12" i="12"/>
  <c r="H303" i="12"/>
  <c r="H291" i="12"/>
  <c r="H279" i="12"/>
  <c r="H267" i="12"/>
  <c r="H255" i="12"/>
  <c r="H243" i="12"/>
  <c r="H231" i="12"/>
  <c r="H219" i="12"/>
  <c r="H207" i="12"/>
  <c r="H195" i="12"/>
  <c r="H183" i="12"/>
  <c r="H171" i="12"/>
  <c r="H159" i="12"/>
  <c r="H147" i="12"/>
  <c r="H135" i="12"/>
  <c r="H123" i="12"/>
  <c r="H111" i="12"/>
  <c r="H99" i="12"/>
  <c r="H87" i="12"/>
  <c r="H75" i="12"/>
  <c r="H63" i="12"/>
  <c r="H51" i="12"/>
  <c r="H39" i="12"/>
  <c r="H27" i="12"/>
  <c r="H15" i="12"/>
  <c r="H302" i="12"/>
  <c r="H290" i="12"/>
  <c r="H278" i="12"/>
  <c r="H266" i="12"/>
  <c r="H254" i="12"/>
  <c r="H242" i="12"/>
  <c r="H230" i="12"/>
  <c r="H218" i="12"/>
  <c r="H206" i="12"/>
  <c r="H194" i="12"/>
  <c r="H182" i="12"/>
  <c r="H170" i="12"/>
  <c r="H158" i="12"/>
  <c r="H146" i="12"/>
  <c r="H134" i="12"/>
  <c r="H122" i="12"/>
  <c r="H110" i="12"/>
  <c r="H98" i="12"/>
  <c r="H86" i="12"/>
  <c r="H74" i="12"/>
  <c r="H62" i="12"/>
  <c r="H50" i="12"/>
  <c r="H38" i="12"/>
  <c r="H26" i="12"/>
  <c r="H14" i="12"/>
  <c r="H301" i="12"/>
  <c r="H289" i="12"/>
  <c r="H277" i="12"/>
  <c r="H265" i="12"/>
  <c r="H253" i="12"/>
  <c r="H241" i="12"/>
  <c r="H229" i="12"/>
  <c r="H217" i="12"/>
  <c r="H205" i="12"/>
  <c r="H193" i="12"/>
  <c r="H181" i="12"/>
  <c r="H169" i="12"/>
  <c r="H157" i="12"/>
  <c r="H145" i="12"/>
  <c r="H133" i="12"/>
  <c r="H121" i="12"/>
  <c r="H109" i="12"/>
  <c r="H97" i="12"/>
  <c r="H85" i="12"/>
  <c r="H73" i="12"/>
  <c r="H61" i="12"/>
  <c r="H49" i="12"/>
  <c r="H37" i="12"/>
  <c r="H25" i="12"/>
  <c r="H13" i="12"/>
  <c r="J291" i="12"/>
  <c r="I291" i="12"/>
  <c r="J219" i="12"/>
  <c r="I219" i="12"/>
  <c r="J147" i="12"/>
  <c r="I147" i="12"/>
  <c r="I27" i="12"/>
  <c r="J27" i="12"/>
  <c r="J290" i="12"/>
  <c r="I290" i="12"/>
  <c r="J254" i="12"/>
  <c r="I254" i="12"/>
  <c r="J218" i="12"/>
  <c r="I218" i="12"/>
  <c r="J182" i="12"/>
  <c r="I182" i="12"/>
  <c r="J146" i="12"/>
  <c r="I146" i="12"/>
  <c r="J14" i="12"/>
  <c r="I14" i="12"/>
  <c r="J301" i="12"/>
  <c r="I301" i="12"/>
  <c r="J289" i="12"/>
  <c r="I289" i="12"/>
  <c r="J277" i="12"/>
  <c r="I277" i="12"/>
  <c r="J265" i="12"/>
  <c r="I265" i="12"/>
  <c r="J253" i="12"/>
  <c r="I253" i="12"/>
  <c r="J241" i="12"/>
  <c r="I241" i="12"/>
  <c r="J229" i="12"/>
  <c r="I229" i="12"/>
  <c r="J217" i="12"/>
  <c r="I217" i="12"/>
  <c r="J205" i="12"/>
  <c r="I205" i="12"/>
  <c r="J193" i="12"/>
  <c r="I193" i="12"/>
  <c r="J181" i="12"/>
  <c r="I181" i="12"/>
  <c r="J169" i="12"/>
  <c r="I169" i="12"/>
  <c r="J157" i="12"/>
  <c r="I157" i="12"/>
  <c r="J145" i="12"/>
  <c r="I145" i="12"/>
  <c r="J133" i="12"/>
  <c r="I133" i="12"/>
  <c r="O133" i="12" s="1"/>
  <c r="J121" i="12"/>
  <c r="I121" i="12"/>
  <c r="J109" i="12"/>
  <c r="I109" i="12"/>
  <c r="J97" i="12"/>
  <c r="I97" i="12"/>
  <c r="J85" i="12"/>
  <c r="I85" i="12"/>
  <c r="J73" i="12"/>
  <c r="I73" i="12"/>
  <c r="J61" i="12"/>
  <c r="I61" i="12"/>
  <c r="J49" i="12"/>
  <c r="I49" i="12"/>
  <c r="J37" i="12"/>
  <c r="I37" i="12"/>
  <c r="J25" i="12"/>
  <c r="I25" i="12"/>
  <c r="J13" i="12"/>
  <c r="I13" i="12"/>
  <c r="J255" i="12"/>
  <c r="I255" i="12"/>
  <c r="J183" i="12"/>
  <c r="I183" i="12"/>
  <c r="J111" i="12"/>
  <c r="I111" i="12"/>
  <c r="J278" i="12"/>
  <c r="I278" i="12"/>
  <c r="J230" i="12"/>
  <c r="I230" i="12"/>
  <c r="J194" i="12"/>
  <c r="I194" i="12"/>
  <c r="J158" i="12"/>
  <c r="I158" i="12"/>
  <c r="J38" i="12"/>
  <c r="I38" i="12"/>
  <c r="J300" i="12"/>
  <c r="I300" i="12"/>
  <c r="J288" i="12"/>
  <c r="I288" i="12"/>
  <c r="J276" i="12"/>
  <c r="I276" i="12"/>
  <c r="J264" i="12"/>
  <c r="I264" i="12"/>
  <c r="J252" i="12"/>
  <c r="I252" i="12"/>
  <c r="J240" i="12"/>
  <c r="I240" i="12"/>
  <c r="J228" i="12"/>
  <c r="I228" i="12"/>
  <c r="O228" i="12" s="1"/>
  <c r="J216" i="12"/>
  <c r="I216" i="12"/>
  <c r="J204" i="12"/>
  <c r="I204" i="12"/>
  <c r="J192" i="12"/>
  <c r="I192" i="12"/>
  <c r="J180" i="12"/>
  <c r="I180" i="12"/>
  <c r="J168" i="12"/>
  <c r="I168" i="12"/>
  <c r="J156" i="12"/>
  <c r="I156" i="12"/>
  <c r="J144" i="12"/>
  <c r="I144" i="12"/>
  <c r="J132" i="12"/>
  <c r="I132" i="12"/>
  <c r="J120" i="12"/>
  <c r="I120" i="12"/>
  <c r="J108" i="12"/>
  <c r="I108" i="12"/>
  <c r="J96" i="12"/>
  <c r="I96" i="12"/>
  <c r="J84" i="12"/>
  <c r="I84" i="12"/>
  <c r="O84" i="12" s="1"/>
  <c r="J72" i="12"/>
  <c r="I72" i="12"/>
  <c r="J60" i="12"/>
  <c r="I60" i="12"/>
  <c r="J48" i="12"/>
  <c r="I48" i="12"/>
  <c r="J36" i="12"/>
  <c r="I36" i="12"/>
  <c r="J24" i="12"/>
  <c r="I24" i="12"/>
  <c r="J12" i="12"/>
  <c r="I12" i="12"/>
  <c r="I303" i="12"/>
  <c r="J303" i="12"/>
  <c r="I231" i="12"/>
  <c r="J231" i="12"/>
  <c r="I171" i="12"/>
  <c r="O171" i="12" s="1"/>
  <c r="J171" i="12"/>
  <c r="I63" i="12"/>
  <c r="J63" i="12"/>
  <c r="J302" i="12"/>
  <c r="I302" i="12"/>
  <c r="J266" i="12"/>
  <c r="I266" i="12"/>
  <c r="J242" i="12"/>
  <c r="I242" i="12"/>
  <c r="J206" i="12"/>
  <c r="I206" i="12"/>
  <c r="J170" i="12"/>
  <c r="I170" i="12"/>
  <c r="O170" i="12" s="1"/>
  <c r="J134" i="12"/>
  <c r="I134" i="12"/>
  <c r="J26" i="12"/>
  <c r="I26" i="12"/>
  <c r="J299" i="12"/>
  <c r="I299" i="12"/>
  <c r="J287" i="12"/>
  <c r="I287" i="12"/>
  <c r="J275" i="12"/>
  <c r="I275" i="12"/>
  <c r="I263" i="12"/>
  <c r="J263" i="12"/>
  <c r="I251" i="12"/>
  <c r="J251" i="12"/>
  <c r="J239" i="12"/>
  <c r="I239" i="12"/>
  <c r="O239" i="12" s="1"/>
  <c r="J227" i="12"/>
  <c r="I227" i="12"/>
  <c r="J215" i="12"/>
  <c r="I215" i="12"/>
  <c r="J203" i="12"/>
  <c r="I203" i="12"/>
  <c r="I191" i="12"/>
  <c r="J191" i="12"/>
  <c r="I179" i="12"/>
  <c r="J179" i="12"/>
  <c r="J167" i="12"/>
  <c r="I167" i="12"/>
  <c r="J155" i="12"/>
  <c r="I155" i="12"/>
  <c r="I143" i="12"/>
  <c r="J143" i="12"/>
  <c r="J131" i="12"/>
  <c r="I131" i="12"/>
  <c r="J119" i="12"/>
  <c r="I119" i="12"/>
  <c r="J107" i="12"/>
  <c r="I107" i="12"/>
  <c r="J95" i="12"/>
  <c r="I95" i="12"/>
  <c r="O95" i="12" s="1"/>
  <c r="I83" i="12"/>
  <c r="J83" i="12"/>
  <c r="I71" i="12"/>
  <c r="J71" i="12"/>
  <c r="J59" i="12"/>
  <c r="I59" i="12"/>
  <c r="I47" i="12"/>
  <c r="J47" i="12"/>
  <c r="J35" i="12"/>
  <c r="I35" i="12"/>
  <c r="I23" i="12"/>
  <c r="J23" i="12"/>
  <c r="I11" i="12"/>
  <c r="J11" i="12"/>
  <c r="I123" i="12"/>
  <c r="J123" i="12"/>
  <c r="J62" i="12"/>
  <c r="I62" i="12"/>
  <c r="J298" i="12"/>
  <c r="I298" i="12"/>
  <c r="O298" i="12" s="1"/>
  <c r="J286" i="12"/>
  <c r="I286" i="12"/>
  <c r="J274" i="12"/>
  <c r="I274" i="12"/>
  <c r="J262" i="12"/>
  <c r="I262" i="12"/>
  <c r="J250" i="12"/>
  <c r="I250" i="12"/>
  <c r="J238" i="12"/>
  <c r="I238" i="12"/>
  <c r="J226" i="12"/>
  <c r="I226" i="12"/>
  <c r="J214" i="12"/>
  <c r="I214" i="12"/>
  <c r="J202" i="12"/>
  <c r="I202" i="12"/>
  <c r="J190" i="12"/>
  <c r="I190" i="12"/>
  <c r="J178" i="12"/>
  <c r="I178" i="12"/>
  <c r="J166" i="12"/>
  <c r="I166" i="12"/>
  <c r="J154" i="12"/>
  <c r="I154" i="12"/>
  <c r="O154" i="12" s="1"/>
  <c r="J142" i="12"/>
  <c r="I142" i="12"/>
  <c r="J130" i="12"/>
  <c r="I130" i="12"/>
  <c r="J118" i="12"/>
  <c r="I118" i="12"/>
  <c r="J106" i="12"/>
  <c r="I106" i="12"/>
  <c r="J94" i="12"/>
  <c r="I94" i="12"/>
  <c r="J82" i="12"/>
  <c r="I82" i="12"/>
  <c r="J70" i="12"/>
  <c r="I70" i="12"/>
  <c r="J58" i="12"/>
  <c r="I58" i="12"/>
  <c r="J46" i="12"/>
  <c r="I46" i="12"/>
  <c r="J34" i="12"/>
  <c r="I34" i="12"/>
  <c r="J22" i="12"/>
  <c r="I22" i="12"/>
  <c r="J10" i="12"/>
  <c r="I10" i="12"/>
  <c r="O10" i="12" s="1"/>
  <c r="I243" i="12"/>
  <c r="J243" i="12"/>
  <c r="I159" i="12"/>
  <c r="J159" i="12"/>
  <c r="J75" i="12"/>
  <c r="I75" i="12"/>
  <c r="J50" i="12"/>
  <c r="I50" i="12"/>
  <c r="J3" i="12"/>
  <c r="I3" i="12"/>
  <c r="J297" i="12"/>
  <c r="I297" i="12"/>
  <c r="I285" i="12"/>
  <c r="J285" i="12"/>
  <c r="J273" i="12"/>
  <c r="I273" i="12"/>
  <c r="O273" i="12" s="1"/>
  <c r="J261" i="12"/>
  <c r="I261" i="12"/>
  <c r="I249" i="12"/>
  <c r="J249" i="12"/>
  <c r="J237" i="12"/>
  <c r="I237" i="12"/>
  <c r="J225" i="12"/>
  <c r="I225" i="12"/>
  <c r="I213" i="12"/>
  <c r="J213" i="12"/>
  <c r="J201" i="12"/>
  <c r="I201" i="12"/>
  <c r="J189" i="12"/>
  <c r="I189" i="12"/>
  <c r="I177" i="12"/>
  <c r="J177" i="12"/>
  <c r="J165" i="12"/>
  <c r="I165" i="12"/>
  <c r="J153" i="12"/>
  <c r="I153" i="12"/>
  <c r="I141" i="12"/>
  <c r="J141" i="12"/>
  <c r="J129" i="12"/>
  <c r="I129" i="12"/>
  <c r="O129" i="12" s="1"/>
  <c r="J117" i="12"/>
  <c r="I117" i="12"/>
  <c r="I105" i="12"/>
  <c r="J105" i="12"/>
  <c r="J93" i="12"/>
  <c r="I93" i="12"/>
  <c r="J81" i="12"/>
  <c r="I81" i="12"/>
  <c r="I69" i="12"/>
  <c r="J69" i="12"/>
  <c r="J57" i="12"/>
  <c r="I57" i="12"/>
  <c r="J45" i="12"/>
  <c r="I45" i="12"/>
  <c r="J33" i="12"/>
  <c r="I33" i="12"/>
  <c r="I21" i="12"/>
  <c r="J21" i="12"/>
  <c r="J9" i="12"/>
  <c r="I9" i="12"/>
  <c r="I87" i="12"/>
  <c r="J87" i="12"/>
  <c r="J98" i="12"/>
  <c r="I98" i="12"/>
  <c r="I308" i="12"/>
  <c r="J308" i="12"/>
  <c r="J296" i="12"/>
  <c r="I296" i="12"/>
  <c r="I284" i="12"/>
  <c r="J284" i="12"/>
  <c r="J272" i="12"/>
  <c r="I272" i="12"/>
  <c r="I260" i="12"/>
  <c r="J260" i="12"/>
  <c r="I248" i="12"/>
  <c r="J248" i="12"/>
  <c r="I236" i="12"/>
  <c r="J236" i="12"/>
  <c r="I224" i="12"/>
  <c r="J224" i="12"/>
  <c r="J212" i="12"/>
  <c r="I212" i="12"/>
  <c r="J200" i="12"/>
  <c r="I200" i="12"/>
  <c r="J188" i="12"/>
  <c r="I188" i="12"/>
  <c r="I176" i="12"/>
  <c r="J176" i="12"/>
  <c r="I164" i="12"/>
  <c r="J164" i="12"/>
  <c r="I152" i="12"/>
  <c r="J152" i="12"/>
  <c r="J140" i="12"/>
  <c r="I140" i="12"/>
  <c r="J128" i="12"/>
  <c r="I128" i="12"/>
  <c r="J116" i="12"/>
  <c r="I116" i="12"/>
  <c r="I104" i="12"/>
  <c r="J104" i="12"/>
  <c r="I92" i="12"/>
  <c r="J92" i="12"/>
  <c r="I80" i="12"/>
  <c r="J80" i="12"/>
  <c r="I68" i="12"/>
  <c r="O68" i="12" s="1"/>
  <c r="J68" i="12"/>
  <c r="I56" i="12"/>
  <c r="J56" i="12"/>
  <c r="I44" i="12"/>
  <c r="J44" i="12"/>
  <c r="I32" i="12"/>
  <c r="J32" i="12"/>
  <c r="I20" i="12"/>
  <c r="J20" i="12"/>
  <c r="I8" i="12"/>
  <c r="J8" i="12"/>
  <c r="I15" i="12"/>
  <c r="J15" i="12"/>
  <c r="J86" i="12"/>
  <c r="I86" i="12"/>
  <c r="J307" i="12"/>
  <c r="I307" i="12"/>
  <c r="J295" i="12"/>
  <c r="I295" i="12"/>
  <c r="I283" i="12"/>
  <c r="J283" i="12"/>
  <c r="J271" i="12"/>
  <c r="I271" i="12"/>
  <c r="I259" i="12"/>
  <c r="J259" i="12"/>
  <c r="I247" i="12"/>
  <c r="J247" i="12"/>
  <c r="J235" i="12"/>
  <c r="I235" i="12"/>
  <c r="J223" i="12"/>
  <c r="I223" i="12"/>
  <c r="J211" i="12"/>
  <c r="I211" i="12"/>
  <c r="J199" i="12"/>
  <c r="I199" i="12"/>
  <c r="J187" i="12"/>
  <c r="I187" i="12"/>
  <c r="I175" i="12"/>
  <c r="J175" i="12"/>
  <c r="J163" i="12"/>
  <c r="I163" i="12"/>
  <c r="I151" i="12"/>
  <c r="J151" i="12"/>
  <c r="J139" i="12"/>
  <c r="I139" i="12"/>
  <c r="J127" i="12"/>
  <c r="I127" i="12"/>
  <c r="J115" i="12"/>
  <c r="I115" i="12"/>
  <c r="I103" i="12"/>
  <c r="J103" i="12"/>
  <c r="I91" i="12"/>
  <c r="J91" i="12"/>
  <c r="I79" i="12"/>
  <c r="J79" i="12"/>
  <c r="I67" i="12"/>
  <c r="J67" i="12"/>
  <c r="I55" i="12"/>
  <c r="J55" i="12"/>
  <c r="I43" i="12"/>
  <c r="J43" i="12"/>
  <c r="I31" i="12"/>
  <c r="J31" i="12"/>
  <c r="I19" i="12"/>
  <c r="J19" i="12"/>
  <c r="I7" i="12"/>
  <c r="J7" i="12"/>
  <c r="I267" i="12"/>
  <c r="J267" i="12"/>
  <c r="I195" i="12"/>
  <c r="J195" i="12"/>
  <c r="I99" i="12"/>
  <c r="J99" i="12"/>
  <c r="J122" i="12"/>
  <c r="I122" i="12"/>
  <c r="I306" i="12"/>
  <c r="J306" i="12"/>
  <c r="J294" i="12"/>
  <c r="I294" i="12"/>
  <c r="O294" i="12" s="1"/>
  <c r="I282" i="12"/>
  <c r="J282" i="12"/>
  <c r="J270" i="12"/>
  <c r="I270" i="12"/>
  <c r="J258" i="12"/>
  <c r="I258" i="12"/>
  <c r="J246" i="12"/>
  <c r="I246" i="12"/>
  <c r="I234" i="12"/>
  <c r="J234" i="12"/>
  <c r="J222" i="12"/>
  <c r="I222" i="12"/>
  <c r="I210" i="12"/>
  <c r="J210" i="12"/>
  <c r="J198" i="12"/>
  <c r="I198" i="12"/>
  <c r="J186" i="12"/>
  <c r="I186" i="12"/>
  <c r="J174" i="12"/>
  <c r="I174" i="12"/>
  <c r="I162" i="12"/>
  <c r="J162" i="12"/>
  <c r="J150" i="12"/>
  <c r="I150" i="12"/>
  <c r="O150" i="12" s="1"/>
  <c r="I138" i="12"/>
  <c r="J138" i="12"/>
  <c r="I126" i="12"/>
  <c r="J126" i="12"/>
  <c r="J114" i="12"/>
  <c r="I114" i="12"/>
  <c r="I102" i="12"/>
  <c r="J102" i="12"/>
  <c r="I90" i="12"/>
  <c r="J90" i="12"/>
  <c r="J78" i="12"/>
  <c r="I78" i="12"/>
  <c r="I66" i="12"/>
  <c r="J66" i="12"/>
  <c r="J54" i="12"/>
  <c r="I54" i="12"/>
  <c r="I42" i="12"/>
  <c r="J42" i="12"/>
  <c r="I30" i="12"/>
  <c r="J30" i="12"/>
  <c r="I18" i="12"/>
  <c r="J18" i="12"/>
  <c r="I6" i="12"/>
  <c r="J6" i="12"/>
  <c r="I279" i="12"/>
  <c r="J279" i="12"/>
  <c r="I207" i="12"/>
  <c r="J207" i="12"/>
  <c r="I135" i="12"/>
  <c r="J135" i="12"/>
  <c r="J39" i="12"/>
  <c r="I39" i="12"/>
  <c r="J110" i="12"/>
  <c r="I110" i="12"/>
  <c r="I305" i="12"/>
  <c r="J305" i="12"/>
  <c r="J293" i="12"/>
  <c r="I293" i="12"/>
  <c r="J281" i="12"/>
  <c r="I281" i="12"/>
  <c r="J269" i="12"/>
  <c r="I269" i="12"/>
  <c r="J257" i="12"/>
  <c r="I257" i="12"/>
  <c r="J245" i="12"/>
  <c r="I245" i="12"/>
  <c r="I233" i="12"/>
  <c r="O233" i="12" s="1"/>
  <c r="J233" i="12"/>
  <c r="J221" i="12"/>
  <c r="I221" i="12"/>
  <c r="J209" i="12"/>
  <c r="I209" i="12"/>
  <c r="J197" i="12"/>
  <c r="I197" i="12"/>
  <c r="J185" i="12"/>
  <c r="I185" i="12"/>
  <c r="J173" i="12"/>
  <c r="I173" i="12"/>
  <c r="I161" i="12"/>
  <c r="J161" i="12"/>
  <c r="J149" i="12"/>
  <c r="I149" i="12"/>
  <c r="I137" i="12"/>
  <c r="J137" i="12"/>
  <c r="I125" i="12"/>
  <c r="J125" i="12"/>
  <c r="J113" i="12"/>
  <c r="I113" i="12"/>
  <c r="J101" i="12"/>
  <c r="I101" i="12"/>
  <c r="I89" i="12"/>
  <c r="J89" i="12"/>
  <c r="J77" i="12"/>
  <c r="I77" i="12"/>
  <c r="J65" i="12"/>
  <c r="I65" i="12"/>
  <c r="I53" i="12"/>
  <c r="J53" i="12"/>
  <c r="J41" i="12"/>
  <c r="I41" i="12"/>
  <c r="J29" i="12"/>
  <c r="I29" i="12"/>
  <c r="I17" i="12"/>
  <c r="J17" i="12"/>
  <c r="J5" i="12"/>
  <c r="I5" i="12"/>
  <c r="J51" i="12"/>
  <c r="I51" i="12"/>
  <c r="J74" i="12"/>
  <c r="I74" i="12"/>
  <c r="I304" i="12"/>
  <c r="O304" i="12" s="1"/>
  <c r="J304" i="12"/>
  <c r="J292" i="12"/>
  <c r="I292" i="12"/>
  <c r="I280" i="12"/>
  <c r="J280" i="12"/>
  <c r="J268" i="12"/>
  <c r="I268" i="12"/>
  <c r="J256" i="12"/>
  <c r="I256" i="12"/>
  <c r="J244" i="12"/>
  <c r="I244" i="12"/>
  <c r="I232" i="12"/>
  <c r="J232" i="12"/>
  <c r="I220" i="12"/>
  <c r="J220" i="12"/>
  <c r="I208" i="12"/>
  <c r="J208" i="12"/>
  <c r="J196" i="12"/>
  <c r="I196" i="12"/>
  <c r="J184" i="12"/>
  <c r="I184" i="12"/>
  <c r="J172" i="12"/>
  <c r="I172" i="12"/>
  <c r="J160" i="12"/>
  <c r="I160" i="12"/>
  <c r="I148" i="12"/>
  <c r="J148" i="12"/>
  <c r="J136" i="12"/>
  <c r="I136" i="12"/>
  <c r="I124" i="12"/>
  <c r="J124" i="12"/>
  <c r="J112" i="12"/>
  <c r="I112" i="12"/>
  <c r="I100" i="12"/>
  <c r="J100" i="12"/>
  <c r="I88" i="12"/>
  <c r="J88" i="12"/>
  <c r="J76" i="12"/>
  <c r="I76" i="12"/>
  <c r="I64" i="12"/>
  <c r="J64" i="12"/>
  <c r="J52" i="12"/>
  <c r="I52" i="12"/>
  <c r="I40" i="12"/>
  <c r="J40" i="12"/>
  <c r="I28" i="12"/>
  <c r="J28" i="12"/>
  <c r="I16" i="12"/>
  <c r="J16" i="12"/>
  <c r="J4" i="12"/>
  <c r="I4" i="12"/>
  <c r="C32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15" i="9"/>
  <c r="D50" i="15" l="1"/>
  <c r="E50" i="15" s="1"/>
  <c r="D58" i="15"/>
  <c r="E58" i="15" s="1"/>
  <c r="D56" i="15"/>
  <c r="E56" i="15" s="1"/>
  <c r="D117" i="15"/>
  <c r="E117" i="15" s="1"/>
  <c r="D92" i="15"/>
  <c r="E92" i="15" s="1"/>
  <c r="D67" i="15"/>
  <c r="E67" i="15" s="1"/>
  <c r="D101" i="15"/>
  <c r="E101" i="15" s="1"/>
  <c r="D61" i="15"/>
  <c r="E61" i="15" s="1"/>
  <c r="D122" i="15"/>
  <c r="E122" i="15" s="1"/>
  <c r="D97" i="15"/>
  <c r="E97" i="15" s="1"/>
  <c r="D72" i="15"/>
  <c r="E72" i="15" s="1"/>
  <c r="D142" i="15"/>
  <c r="E142" i="15" s="1"/>
  <c r="D105" i="15"/>
  <c r="E105" i="15" s="1"/>
  <c r="D80" i="15"/>
  <c r="E80" i="15" s="1"/>
  <c r="D52" i="15"/>
  <c r="E52" i="15" s="1"/>
  <c r="D89" i="15"/>
  <c r="E89" i="15" s="1"/>
  <c r="D147" i="15"/>
  <c r="E147" i="15" s="1"/>
  <c r="D110" i="15"/>
  <c r="E110" i="15" s="1"/>
  <c r="D85" i="15"/>
  <c r="E85" i="15" s="1"/>
  <c r="D57" i="15"/>
  <c r="E57" i="15" s="1"/>
  <c r="D130" i="15"/>
  <c r="E130" i="15" s="1"/>
  <c r="D93" i="15"/>
  <c r="E93" i="15" s="1"/>
  <c r="D68" i="15"/>
  <c r="E68" i="15" s="1"/>
  <c r="D138" i="15"/>
  <c r="E138" i="15" s="1"/>
  <c r="D77" i="15"/>
  <c r="E77" i="15" s="1"/>
  <c r="D135" i="15"/>
  <c r="E135" i="15" s="1"/>
  <c r="D98" i="15"/>
  <c r="E98" i="15" s="1"/>
  <c r="D73" i="15"/>
  <c r="E73" i="15" s="1"/>
  <c r="D143" i="15"/>
  <c r="E143" i="15" s="1"/>
  <c r="D118" i="15"/>
  <c r="E118" i="15" s="1"/>
  <c r="D81" i="15"/>
  <c r="E81" i="15" s="1"/>
  <c r="D144" i="15"/>
  <c r="E144" i="15" s="1"/>
  <c r="D126" i="15"/>
  <c r="E126" i="15" s="1"/>
  <c r="D65" i="15"/>
  <c r="E65" i="15" s="1"/>
  <c r="D123" i="15"/>
  <c r="E123" i="15" s="1"/>
  <c r="D86" i="15"/>
  <c r="E86" i="15" s="1"/>
  <c r="D131" i="15"/>
  <c r="E131" i="15" s="1"/>
  <c r="D106" i="15"/>
  <c r="E106" i="15" s="1"/>
  <c r="D69" i="15"/>
  <c r="E69" i="15" s="1"/>
  <c r="D96" i="15"/>
  <c r="E96" i="15" s="1"/>
  <c r="D114" i="15"/>
  <c r="E114" i="15" s="1"/>
  <c r="D148" i="15"/>
  <c r="E148" i="15" s="1"/>
  <c r="D111" i="15"/>
  <c r="E111" i="15" s="1"/>
  <c r="D74" i="15"/>
  <c r="E74" i="15" s="1"/>
  <c r="D119" i="15"/>
  <c r="E119" i="15" s="1"/>
  <c r="D94" i="15"/>
  <c r="E94" i="15" s="1"/>
  <c r="D149" i="15"/>
  <c r="E149" i="15" s="1"/>
  <c r="D53" i="15"/>
  <c r="E53" i="15" s="1"/>
  <c r="D102" i="15"/>
  <c r="E102" i="15" s="1"/>
  <c r="D136" i="15"/>
  <c r="E136" i="15" s="1"/>
  <c r="D99" i="15"/>
  <c r="E99" i="15" s="1"/>
  <c r="D62" i="15"/>
  <c r="E62" i="15" s="1"/>
  <c r="D107" i="15"/>
  <c r="E107" i="15" s="1"/>
  <c r="D82" i="15"/>
  <c r="E82" i="15" s="1"/>
  <c r="D120" i="15"/>
  <c r="E120" i="15" s="1"/>
  <c r="D139" i="15"/>
  <c r="E139" i="15" s="1"/>
  <c r="D90" i="15"/>
  <c r="E90" i="15" s="1"/>
  <c r="D124" i="15"/>
  <c r="E124" i="15" s="1"/>
  <c r="D87" i="15"/>
  <c r="E87" i="15" s="1"/>
  <c r="D51" i="15"/>
  <c r="E51" i="15" s="1"/>
  <c r="D95" i="15"/>
  <c r="E95" i="15" s="1"/>
  <c r="D70" i="15"/>
  <c r="E70" i="15" s="1"/>
  <c r="D54" i="15"/>
  <c r="E54" i="15" s="1"/>
  <c r="D127" i="15"/>
  <c r="E127" i="15" s="1"/>
  <c r="D78" i="15"/>
  <c r="E78" i="15" s="1"/>
  <c r="D112" i="15"/>
  <c r="E112" i="15" s="1"/>
  <c r="D75" i="15"/>
  <c r="E75" i="15" s="1"/>
  <c r="D59" i="15"/>
  <c r="E59" i="15" s="1"/>
  <c r="D83" i="15"/>
  <c r="E83" i="15" s="1"/>
  <c r="D108" i="15"/>
  <c r="E108" i="15" s="1"/>
  <c r="D140" i="15"/>
  <c r="E140" i="15" s="1"/>
  <c r="D115" i="15"/>
  <c r="E115" i="15" s="1"/>
  <c r="D66" i="15"/>
  <c r="E66" i="15" s="1"/>
  <c r="D100" i="15"/>
  <c r="E100" i="15" s="1"/>
  <c r="D63" i="15"/>
  <c r="E63" i="15" s="1"/>
  <c r="D145" i="15"/>
  <c r="E145" i="15" s="1"/>
  <c r="D71" i="15"/>
  <c r="E71" i="15" s="1"/>
  <c r="D55" i="15"/>
  <c r="E55" i="15" s="1"/>
  <c r="D128" i="15"/>
  <c r="E128" i="15" s="1"/>
  <c r="D103" i="15"/>
  <c r="E103" i="15" s="1"/>
  <c r="D137" i="15"/>
  <c r="E137" i="15" s="1"/>
  <c r="D88" i="15"/>
  <c r="E88" i="15" s="1"/>
  <c r="D60" i="15"/>
  <c r="E60" i="15" s="1"/>
  <c r="D133" i="15"/>
  <c r="E133" i="15" s="1"/>
  <c r="D132" i="15"/>
  <c r="E132" i="15" s="1"/>
  <c r="D141" i="15"/>
  <c r="E141" i="15" s="1"/>
  <c r="D116" i="15"/>
  <c r="E116" i="15" s="1"/>
  <c r="D91" i="15"/>
  <c r="E91" i="15" s="1"/>
  <c r="D125" i="15"/>
  <c r="E125" i="15" s="1"/>
  <c r="D76" i="15"/>
  <c r="E76" i="15" s="1"/>
  <c r="D146" i="15"/>
  <c r="E146" i="15" s="1"/>
  <c r="D121" i="15"/>
  <c r="E121" i="15" s="1"/>
  <c r="D84" i="15"/>
  <c r="E84" i="15" s="1"/>
  <c r="D129" i="15"/>
  <c r="E129" i="15" s="1"/>
  <c r="D104" i="15"/>
  <c r="E104" i="15" s="1"/>
  <c r="D79" i="15"/>
  <c r="E79" i="15" s="1"/>
  <c r="D64" i="15"/>
  <c r="E64" i="15" s="1"/>
  <c r="D109" i="15"/>
  <c r="E109" i="15" s="1"/>
  <c r="D113" i="15"/>
  <c r="E113" i="15" s="1"/>
  <c r="D134" i="15"/>
  <c r="E134" i="15" s="1"/>
  <c r="O160" i="12"/>
  <c r="V4" i="12"/>
  <c r="Z4" i="12"/>
  <c r="T4" i="12"/>
  <c r="AB4" i="12" s="1"/>
  <c r="S4" i="12" s="1"/>
  <c r="X4" i="12"/>
  <c r="V19" i="12"/>
  <c r="Z8" i="12"/>
  <c r="T17" i="12"/>
  <c r="AB17" i="12" s="1"/>
  <c r="Z32" i="12"/>
  <c r="T15" i="12"/>
  <c r="AB15" i="12" s="1"/>
  <c r="X37" i="12"/>
  <c r="X27" i="12"/>
  <c r="V12" i="12"/>
  <c r="T16" i="12"/>
  <c r="AB16" i="12" s="1"/>
  <c r="X7" i="12"/>
  <c r="T24" i="12"/>
  <c r="AB24" i="12" s="1"/>
  <c r="T35" i="12"/>
  <c r="AB35" i="12" s="1"/>
  <c r="V37" i="12"/>
  <c r="X16" i="12"/>
  <c r="T32" i="12"/>
  <c r="AB32" i="12" s="1"/>
  <c r="V18" i="12"/>
  <c r="Z34" i="12"/>
  <c r="T5" i="12"/>
  <c r="AB5" i="12" s="1"/>
  <c r="Z14" i="12"/>
  <c r="X33" i="12"/>
  <c r="X34" i="12"/>
  <c r="Z28" i="12"/>
  <c r="T12" i="12"/>
  <c r="AB12" i="12" s="1"/>
  <c r="T23" i="12"/>
  <c r="AB23" i="12" s="1"/>
  <c r="T26" i="12"/>
  <c r="AB26" i="12" s="1"/>
  <c r="Z37" i="12"/>
  <c r="T20" i="12"/>
  <c r="AB20" i="12" s="1"/>
  <c r="X15" i="12"/>
  <c r="Z22" i="12"/>
  <c r="V26" i="12"/>
  <c r="Z23" i="12"/>
  <c r="Z5" i="12"/>
  <c r="V7" i="12"/>
  <c r="T6" i="12"/>
  <c r="AB6" i="12" s="1"/>
  <c r="X28" i="12"/>
  <c r="X21" i="12"/>
  <c r="V35" i="12"/>
  <c r="Z16" i="12"/>
  <c r="V33" i="12"/>
  <c r="T11" i="12"/>
  <c r="AB11" i="12" s="1"/>
  <c r="V23" i="12"/>
  <c r="Z25" i="12"/>
  <c r="T8" i="12"/>
  <c r="AB8" i="12" s="1"/>
  <c r="Z12" i="12"/>
  <c r="Z10" i="12"/>
  <c r="V14" i="12"/>
  <c r="V10" i="12"/>
  <c r="Z26" i="12"/>
  <c r="X31" i="12"/>
  <c r="Z24" i="12"/>
  <c r="X36" i="12"/>
  <c r="X9" i="12"/>
  <c r="T28" i="12"/>
  <c r="AB28" i="12" s="1"/>
  <c r="V21" i="12"/>
  <c r="V32" i="12"/>
  <c r="X8" i="12"/>
  <c r="Z13" i="12"/>
  <c r="V29" i="12"/>
  <c r="T18" i="12"/>
  <c r="AB18" i="12" s="1"/>
  <c r="X35" i="12"/>
  <c r="Z17" i="12"/>
  <c r="V6" i="12"/>
  <c r="X10" i="12"/>
  <c r="T36" i="12"/>
  <c r="AB36" i="12" s="1"/>
  <c r="V25" i="12"/>
  <c r="Z30" i="12"/>
  <c r="T37" i="12"/>
  <c r="AB37" i="12" s="1"/>
  <c r="X22" i="12"/>
  <c r="V9" i="12"/>
  <c r="V20" i="12"/>
  <c r="V17" i="12"/>
  <c r="T31" i="12"/>
  <c r="AB31" i="12" s="1"/>
  <c r="Z33" i="12"/>
  <c r="X23" i="12"/>
  <c r="V11" i="12"/>
  <c r="Z9" i="12"/>
  <c r="X25" i="12"/>
  <c r="V27" i="12"/>
  <c r="Z31" i="12"/>
  <c r="Z18" i="12"/>
  <c r="T25" i="12"/>
  <c r="AB25" i="12" s="1"/>
  <c r="T14" i="12"/>
  <c r="AB14" i="12" s="1"/>
  <c r="X30" i="12"/>
  <c r="V8" i="12"/>
  <c r="T34" i="12"/>
  <c r="AB34" i="12" s="1"/>
  <c r="Z36" i="12"/>
  <c r="V5" i="12"/>
  <c r="T19" i="12"/>
  <c r="AB19" i="12" s="1"/>
  <c r="V15" i="12"/>
  <c r="X11" i="12"/>
  <c r="Z15" i="12"/>
  <c r="V24" i="12"/>
  <c r="T9" i="12"/>
  <c r="AB9" i="12" s="1"/>
  <c r="Z19" i="12"/>
  <c r="Z6" i="12"/>
  <c r="T13" i="12"/>
  <c r="AB13" i="12" s="1"/>
  <c r="X32" i="12"/>
  <c r="X18" i="12"/>
  <c r="X29" i="12"/>
  <c r="T22" i="12"/>
  <c r="AB22" i="12" s="1"/>
  <c r="T33" i="12"/>
  <c r="AB33" i="12" s="1"/>
  <c r="X26" i="12"/>
  <c r="T7" i="12"/>
  <c r="AB7" i="12" s="1"/>
  <c r="X24" i="12"/>
  <c r="V36" i="12"/>
  <c r="Z11" i="12"/>
  <c r="X19" i="12"/>
  <c r="X13" i="12"/>
  <c r="Z7" i="12"/>
  <c r="T30" i="12"/>
  <c r="AB30" i="12" s="1"/>
  <c r="V34" i="12"/>
  <c r="X20" i="12"/>
  <c r="X6" i="12"/>
  <c r="X17" i="12"/>
  <c r="T10" i="12"/>
  <c r="AB10" i="12" s="1"/>
  <c r="T21" i="12"/>
  <c r="AB21" i="12" s="1"/>
  <c r="X14" i="12"/>
  <c r="V28" i="12"/>
  <c r="X12" i="12"/>
  <c r="Z20" i="12"/>
  <c r="T29" i="12"/>
  <c r="AB29" i="12" s="1"/>
  <c r="T27" i="12"/>
  <c r="AB27" i="12" s="1"/>
  <c r="V13" i="12"/>
  <c r="V22" i="12"/>
  <c r="Z29" i="12"/>
  <c r="Z27" i="12"/>
  <c r="X5" i="12"/>
  <c r="V31" i="12"/>
  <c r="V30" i="12"/>
  <c r="Z35" i="12"/>
  <c r="V16" i="12"/>
  <c r="Z21" i="12"/>
  <c r="O139" i="12"/>
  <c r="O211" i="12"/>
  <c r="O117" i="12"/>
  <c r="O261" i="12"/>
  <c r="O227" i="12"/>
  <c r="O277" i="12"/>
  <c r="O212" i="12"/>
  <c r="O268" i="12"/>
  <c r="O128" i="12"/>
  <c r="O140" i="12"/>
  <c r="O112" i="12"/>
  <c r="O272" i="12"/>
  <c r="O256" i="12"/>
  <c r="O221" i="12"/>
  <c r="O162" i="12"/>
  <c r="O306" i="12"/>
  <c r="O91" i="12"/>
  <c r="O77" i="12"/>
  <c r="O184" i="12"/>
  <c r="O19" i="12"/>
  <c r="O56" i="12"/>
  <c r="O52" i="12"/>
  <c r="O196" i="12"/>
  <c r="O64" i="12"/>
  <c r="O208" i="12"/>
  <c r="O120" i="12"/>
  <c r="O264" i="12"/>
  <c r="O175" i="12"/>
  <c r="O187" i="12"/>
  <c r="O65" i="12"/>
  <c r="O54" i="12"/>
  <c r="O106" i="12"/>
  <c r="O250" i="12"/>
  <c r="O43" i="12"/>
  <c r="O31" i="12"/>
  <c r="O215" i="12"/>
  <c r="O242" i="12"/>
  <c r="O209" i="12"/>
  <c r="O270" i="12"/>
  <c r="O296" i="12"/>
  <c r="O8" i="12"/>
  <c r="O152" i="12"/>
  <c r="O98" i="12"/>
  <c r="O96" i="12"/>
  <c r="O240" i="12"/>
  <c r="O136" i="12"/>
  <c r="O280" i="12"/>
  <c r="O260" i="12"/>
  <c r="O232" i="12"/>
  <c r="O88" i="12"/>
  <c r="O103" i="12"/>
  <c r="O247" i="12"/>
  <c r="O94" i="12"/>
  <c r="O238" i="12"/>
  <c r="O132" i="12"/>
  <c r="O276" i="12"/>
  <c r="O41" i="12"/>
  <c r="O30" i="12"/>
  <c r="O115" i="12"/>
  <c r="O53" i="12"/>
  <c r="O42" i="12"/>
  <c r="O259" i="12"/>
  <c r="O40" i="12"/>
  <c r="O148" i="12"/>
  <c r="O220" i="12"/>
  <c r="O141" i="12"/>
  <c r="O285" i="12"/>
  <c r="O28" i="12"/>
  <c r="O284" i="12"/>
  <c r="O198" i="12"/>
  <c r="O271" i="12"/>
  <c r="O127" i="12"/>
  <c r="O199" i="12"/>
  <c r="O55" i="12"/>
  <c r="O156" i="12"/>
  <c r="O300" i="12"/>
  <c r="O118" i="12"/>
  <c r="O262" i="12"/>
  <c r="O126" i="12"/>
  <c r="O172" i="12"/>
  <c r="O244" i="12"/>
  <c r="O114" i="12"/>
  <c r="O258" i="12"/>
  <c r="O100" i="12"/>
  <c r="O80" i="12"/>
  <c r="O224" i="12"/>
  <c r="O223" i="12"/>
  <c r="O7" i="12"/>
  <c r="O79" i="12"/>
  <c r="O151" i="12"/>
  <c r="O104" i="12"/>
  <c r="O248" i="12"/>
  <c r="O295" i="12"/>
  <c r="O18" i="12"/>
  <c r="O87" i="12"/>
  <c r="O86" i="12"/>
  <c r="O226" i="12"/>
  <c r="O16" i="12"/>
  <c r="O60" i="12"/>
  <c r="O204" i="12"/>
  <c r="O50" i="12"/>
  <c r="O34" i="12"/>
  <c r="O178" i="12"/>
  <c r="O72" i="12"/>
  <c r="O144" i="12"/>
  <c r="O216" i="12"/>
  <c r="O288" i="12"/>
  <c r="O149" i="12"/>
  <c r="O293" i="12"/>
  <c r="O190" i="12"/>
  <c r="O46" i="12"/>
  <c r="O183" i="12"/>
  <c r="O61" i="12"/>
  <c r="O5" i="12"/>
  <c r="O57" i="12"/>
  <c r="O167" i="12"/>
  <c r="O305" i="12"/>
  <c r="O78" i="12"/>
  <c r="O222" i="12"/>
  <c r="O201" i="12"/>
  <c r="O161" i="12"/>
  <c r="O90" i="12"/>
  <c r="O234" i="12"/>
  <c r="O69" i="12"/>
  <c r="O213" i="12"/>
  <c r="O179" i="12"/>
  <c r="O39" i="12"/>
  <c r="O200" i="12"/>
  <c r="O48" i="12"/>
  <c r="O192" i="12"/>
  <c r="O22" i="12"/>
  <c r="O166" i="12"/>
  <c r="O137" i="12"/>
  <c r="O189" i="12"/>
  <c r="O299" i="12"/>
  <c r="O281" i="12"/>
  <c r="O45" i="12"/>
  <c r="O155" i="12"/>
  <c r="O24" i="12"/>
  <c r="O168" i="12"/>
  <c r="O205" i="12"/>
  <c r="O23" i="12"/>
  <c r="O44" i="12"/>
  <c r="O194" i="12"/>
  <c r="O287" i="12"/>
  <c r="O105" i="12"/>
  <c r="O249" i="12"/>
  <c r="O71" i="12"/>
  <c r="O143" i="12"/>
  <c r="O32" i="12"/>
  <c r="O176" i="12"/>
  <c r="O251" i="12"/>
  <c r="O113" i="12"/>
  <c r="O257" i="12"/>
  <c r="O246" i="12"/>
  <c r="O9" i="12"/>
  <c r="O81" i="12"/>
  <c r="O153" i="12"/>
  <c r="O225" i="12"/>
  <c r="O297" i="12"/>
  <c r="O119" i="12"/>
  <c r="O13" i="12"/>
  <c r="O157" i="12"/>
  <c r="O301" i="12"/>
  <c r="O290" i="12"/>
  <c r="O102" i="12"/>
  <c r="O47" i="12"/>
  <c r="O191" i="12"/>
  <c r="O263" i="12"/>
  <c r="O174" i="12"/>
  <c r="O74" i="12"/>
  <c r="O93" i="12"/>
  <c r="O165" i="12"/>
  <c r="O237" i="12"/>
  <c r="O59" i="12"/>
  <c r="O131" i="12"/>
  <c r="O203" i="12"/>
  <c r="O275" i="12"/>
  <c r="O186" i="12"/>
  <c r="O135" i="12"/>
  <c r="O21" i="12"/>
  <c r="O75" i="12"/>
  <c r="O58" i="12"/>
  <c r="O130" i="12"/>
  <c r="O202" i="12"/>
  <c r="O274" i="12"/>
  <c r="O302" i="12"/>
  <c r="O17" i="12"/>
  <c r="O89" i="12"/>
  <c r="O6" i="12"/>
  <c r="O125" i="12"/>
  <c r="O15" i="12"/>
  <c r="O33" i="12"/>
  <c r="O146" i="12"/>
  <c r="O269" i="12"/>
  <c r="O177" i="12"/>
  <c r="O12" i="12"/>
  <c r="O26" i="12"/>
  <c r="O243" i="12"/>
  <c r="O82" i="12"/>
  <c r="O197" i="12"/>
  <c r="O185" i="12"/>
  <c r="O99" i="12"/>
  <c r="O278" i="12"/>
  <c r="O123" i="12"/>
  <c r="O159" i="12"/>
  <c r="O37" i="12"/>
  <c r="O181" i="12"/>
  <c r="O303" i="12"/>
  <c r="O3" i="12"/>
  <c r="O207" i="12"/>
  <c r="O121" i="12"/>
  <c r="O265" i="12"/>
  <c r="O63" i="12"/>
  <c r="O85" i="12"/>
  <c r="O229" i="12"/>
  <c r="O218" i="12"/>
  <c r="O291" i="12"/>
  <c r="O231" i="12"/>
  <c r="O109" i="12"/>
  <c r="O253" i="12"/>
  <c r="O111" i="12"/>
  <c r="M219" i="12"/>
  <c r="M63" i="12"/>
  <c r="O122" i="12"/>
  <c r="O230" i="12"/>
  <c r="O25" i="12"/>
  <c r="O97" i="12"/>
  <c r="O169" i="12"/>
  <c r="O241" i="12"/>
  <c r="O14" i="12"/>
  <c r="O147" i="12"/>
  <c r="O266" i="12"/>
  <c r="O219" i="12"/>
  <c r="O62" i="12"/>
  <c r="O206" i="12"/>
  <c r="O51" i="12"/>
  <c r="O49" i="12"/>
  <c r="O193" i="12"/>
  <c r="O182" i="12"/>
  <c r="M52" i="12"/>
  <c r="L124" i="12"/>
  <c r="O124" i="12"/>
  <c r="M196" i="12"/>
  <c r="M268" i="12"/>
  <c r="M5" i="12"/>
  <c r="M77" i="12"/>
  <c r="M149" i="12"/>
  <c r="M221" i="12"/>
  <c r="M293" i="12"/>
  <c r="L279" i="12"/>
  <c r="O279" i="12"/>
  <c r="L66" i="12"/>
  <c r="O66" i="12"/>
  <c r="L138" i="12"/>
  <c r="O138" i="12"/>
  <c r="L210" i="12"/>
  <c r="O210" i="12"/>
  <c r="L282" i="12"/>
  <c r="O282" i="12"/>
  <c r="L267" i="12"/>
  <c r="O267" i="12"/>
  <c r="L67" i="12"/>
  <c r="O67" i="12"/>
  <c r="M139" i="12"/>
  <c r="M211" i="12"/>
  <c r="L283" i="12"/>
  <c r="O283" i="12"/>
  <c r="L20" i="12"/>
  <c r="O20" i="12"/>
  <c r="L92" i="12"/>
  <c r="O92" i="12"/>
  <c r="L164" i="12"/>
  <c r="O164" i="12"/>
  <c r="L236" i="12"/>
  <c r="O236" i="12"/>
  <c r="L308" i="12"/>
  <c r="O308" i="12"/>
  <c r="M45" i="12"/>
  <c r="M117" i="12"/>
  <c r="M189" i="12"/>
  <c r="M261" i="12"/>
  <c r="M75" i="12"/>
  <c r="M46" i="12"/>
  <c r="M118" i="12"/>
  <c r="M190" i="12"/>
  <c r="M262" i="12"/>
  <c r="L11" i="12"/>
  <c r="O11" i="12"/>
  <c r="L83" i="12"/>
  <c r="O83" i="12"/>
  <c r="M155" i="12"/>
  <c r="M227" i="12"/>
  <c r="M299" i="12"/>
  <c r="M266" i="12"/>
  <c r="M84" i="12"/>
  <c r="M156" i="12"/>
  <c r="M228" i="12"/>
  <c r="M300" i="12"/>
  <c r="M111" i="12"/>
  <c r="M49" i="12"/>
  <c r="M121" i="12"/>
  <c r="M193" i="12"/>
  <c r="M265" i="12"/>
  <c r="M182" i="12"/>
  <c r="O27" i="12"/>
  <c r="O195" i="12"/>
  <c r="O38" i="12"/>
  <c r="L4" i="12"/>
  <c r="O4" i="12"/>
  <c r="L76" i="12"/>
  <c r="O76" i="12"/>
  <c r="M148" i="12"/>
  <c r="M220" i="12"/>
  <c r="L292" i="12"/>
  <c r="O292" i="12"/>
  <c r="L29" i="12"/>
  <c r="O29" i="12"/>
  <c r="L101" i="12"/>
  <c r="O101" i="12"/>
  <c r="L173" i="12"/>
  <c r="O173" i="12"/>
  <c r="L245" i="12"/>
  <c r="O245" i="12"/>
  <c r="L110" i="12"/>
  <c r="O110" i="12"/>
  <c r="M18" i="12"/>
  <c r="M90" i="12"/>
  <c r="M162" i="12"/>
  <c r="M234" i="12"/>
  <c r="M306" i="12"/>
  <c r="M19" i="12"/>
  <c r="M91" i="12"/>
  <c r="L163" i="12"/>
  <c r="O163" i="12"/>
  <c r="L235" i="12"/>
  <c r="O235" i="12"/>
  <c r="L307" i="12"/>
  <c r="O307" i="12"/>
  <c r="M44" i="12"/>
  <c r="L116" i="12"/>
  <c r="O116" i="12"/>
  <c r="L188" i="12"/>
  <c r="O188" i="12"/>
  <c r="M260" i="12"/>
  <c r="M87" i="12"/>
  <c r="M69" i="12"/>
  <c r="M141" i="12"/>
  <c r="M213" i="12"/>
  <c r="M285" i="12"/>
  <c r="M243" i="12"/>
  <c r="L70" i="12"/>
  <c r="O70" i="12"/>
  <c r="L142" i="12"/>
  <c r="O142" i="12"/>
  <c r="L214" i="12"/>
  <c r="O214" i="12"/>
  <c r="L286" i="12"/>
  <c r="O286" i="12"/>
  <c r="L35" i="12"/>
  <c r="O35" i="12"/>
  <c r="L107" i="12"/>
  <c r="O107" i="12"/>
  <c r="M179" i="12"/>
  <c r="M251" i="12"/>
  <c r="L134" i="12"/>
  <c r="O134" i="12"/>
  <c r="L36" i="12"/>
  <c r="O36" i="12"/>
  <c r="L108" i="12"/>
  <c r="O108" i="12"/>
  <c r="L180" i="12"/>
  <c r="O180" i="12"/>
  <c r="L252" i="12"/>
  <c r="O252" i="12"/>
  <c r="L158" i="12"/>
  <c r="O158" i="12"/>
  <c r="L255" i="12"/>
  <c r="O255" i="12"/>
  <c r="L73" i="12"/>
  <c r="O73" i="12"/>
  <c r="L145" i="12"/>
  <c r="O145" i="12"/>
  <c r="L217" i="12"/>
  <c r="O217" i="12"/>
  <c r="L289" i="12"/>
  <c r="O289" i="12"/>
  <c r="L254" i="12"/>
  <c r="O254" i="12"/>
  <c r="L137" i="12"/>
  <c r="M281" i="12"/>
  <c r="M54" i="12"/>
  <c r="L126" i="12"/>
  <c r="M270" i="12"/>
  <c r="L195" i="12"/>
  <c r="L55" i="12"/>
  <c r="M127" i="12"/>
  <c r="M199" i="12"/>
  <c r="M271" i="12"/>
  <c r="L8" i="12"/>
  <c r="L80" i="12"/>
  <c r="L152" i="12"/>
  <c r="L224" i="12"/>
  <c r="M296" i="12"/>
  <c r="M33" i="12"/>
  <c r="L105" i="12"/>
  <c r="L177" i="12"/>
  <c r="L249" i="12"/>
  <c r="M50" i="12"/>
  <c r="M34" i="12"/>
  <c r="M106" i="12"/>
  <c r="M178" i="12"/>
  <c r="M250" i="12"/>
  <c r="L123" i="12"/>
  <c r="L71" i="12"/>
  <c r="L143" i="12"/>
  <c r="M215" i="12"/>
  <c r="M287" i="12"/>
  <c r="M242" i="12"/>
  <c r="L303" i="12"/>
  <c r="M72" i="12"/>
  <c r="M144" i="12"/>
  <c r="M216" i="12"/>
  <c r="M288" i="12"/>
  <c r="M278" i="12"/>
  <c r="M37" i="12"/>
  <c r="M109" i="12"/>
  <c r="M181" i="12"/>
  <c r="M253" i="12"/>
  <c r="M146" i="12"/>
  <c r="M147" i="12"/>
  <c r="M209" i="12"/>
  <c r="L207" i="12"/>
  <c r="M198" i="12"/>
  <c r="M112" i="12"/>
  <c r="L40" i="12"/>
  <c r="M51" i="12"/>
  <c r="M184" i="12"/>
  <c r="M256" i="12"/>
  <c r="M65" i="12"/>
  <c r="M12" i="12"/>
  <c r="L291" i="12"/>
  <c r="M28" i="12"/>
  <c r="M100" i="12"/>
  <c r="L172" i="12"/>
  <c r="L244" i="12"/>
  <c r="L74" i="12"/>
  <c r="M53" i="12"/>
  <c r="M125" i="12"/>
  <c r="L197" i="12"/>
  <c r="L269" i="12"/>
  <c r="M135" i="12"/>
  <c r="M42" i="12"/>
  <c r="L114" i="12"/>
  <c r="L186" i="12"/>
  <c r="L258" i="12"/>
  <c r="M99" i="12"/>
  <c r="M43" i="12"/>
  <c r="L115" i="12"/>
  <c r="L187" i="12"/>
  <c r="M259" i="12"/>
  <c r="M15" i="12"/>
  <c r="M68" i="12"/>
  <c r="L140" i="12"/>
  <c r="L212" i="12"/>
  <c r="M284" i="12"/>
  <c r="M21" i="12"/>
  <c r="L93" i="12"/>
  <c r="L165" i="12"/>
  <c r="L237" i="12"/>
  <c r="L3" i="12"/>
  <c r="L22" i="12"/>
  <c r="L94" i="12"/>
  <c r="L166" i="12"/>
  <c r="L238" i="12"/>
  <c r="L62" i="12"/>
  <c r="L59" i="12"/>
  <c r="L131" i="12"/>
  <c r="L203" i="12"/>
  <c r="L275" i="12"/>
  <c r="L206" i="12"/>
  <c r="M231" i="12"/>
  <c r="L60" i="12"/>
  <c r="L132" i="12"/>
  <c r="L204" i="12"/>
  <c r="L276" i="12"/>
  <c r="L230" i="12"/>
  <c r="L25" i="12"/>
  <c r="L97" i="12"/>
  <c r="L169" i="12"/>
  <c r="L241" i="12"/>
  <c r="L14" i="12"/>
  <c r="M27" i="12"/>
  <c r="M16" i="12"/>
  <c r="M88" i="12"/>
  <c r="L160" i="12"/>
  <c r="M232" i="12"/>
  <c r="M304" i="12"/>
  <c r="L41" i="12"/>
  <c r="L113" i="12"/>
  <c r="L185" i="12"/>
  <c r="L257" i="12"/>
  <c r="L39" i="12"/>
  <c r="M30" i="12"/>
  <c r="M102" i="12"/>
  <c r="L174" i="12"/>
  <c r="L246" i="12"/>
  <c r="L122" i="12"/>
  <c r="M31" i="12"/>
  <c r="M103" i="12"/>
  <c r="M175" i="12"/>
  <c r="M247" i="12"/>
  <c r="L86" i="12"/>
  <c r="M56" i="12"/>
  <c r="L128" i="12"/>
  <c r="L200" i="12"/>
  <c r="L272" i="12"/>
  <c r="L9" i="12"/>
  <c r="L81" i="12"/>
  <c r="L153" i="12"/>
  <c r="L225" i="12"/>
  <c r="L297" i="12"/>
  <c r="L10" i="12"/>
  <c r="L82" i="12"/>
  <c r="L154" i="12"/>
  <c r="L226" i="12"/>
  <c r="L298" i="12"/>
  <c r="M47" i="12"/>
  <c r="L119" i="12"/>
  <c r="M191" i="12"/>
  <c r="M263" i="12"/>
  <c r="L170" i="12"/>
  <c r="M171" i="12"/>
  <c r="L48" i="12"/>
  <c r="L120" i="12"/>
  <c r="L192" i="12"/>
  <c r="L264" i="12"/>
  <c r="L194" i="12"/>
  <c r="L13" i="12"/>
  <c r="L85" i="12"/>
  <c r="L157" i="12"/>
  <c r="L229" i="12"/>
  <c r="L301" i="12"/>
  <c r="L290" i="12"/>
  <c r="L182" i="12"/>
  <c r="L219" i="12"/>
  <c r="L64" i="12"/>
  <c r="M136" i="12"/>
  <c r="L208" i="12"/>
  <c r="L280" i="12"/>
  <c r="L17" i="12"/>
  <c r="L89" i="12"/>
  <c r="L161" i="12"/>
  <c r="L233" i="12"/>
  <c r="L305" i="12"/>
  <c r="L6" i="12"/>
  <c r="M78" i="12"/>
  <c r="M150" i="12"/>
  <c r="M222" i="12"/>
  <c r="M294" i="12"/>
  <c r="L7" i="12"/>
  <c r="L79" i="12"/>
  <c r="L151" i="12"/>
  <c r="M223" i="12"/>
  <c r="M295" i="12"/>
  <c r="L32" i="12"/>
  <c r="L104" i="12"/>
  <c r="L176" i="12"/>
  <c r="L248" i="12"/>
  <c r="M98" i="12"/>
  <c r="M57" i="12"/>
  <c r="M129" i="12"/>
  <c r="M201" i="12"/>
  <c r="M273" i="12"/>
  <c r="L159" i="12"/>
  <c r="M58" i="12"/>
  <c r="M130" i="12"/>
  <c r="M202" i="12"/>
  <c r="M274" i="12"/>
  <c r="L23" i="12"/>
  <c r="M95" i="12"/>
  <c r="M167" i="12"/>
  <c r="M239" i="12"/>
  <c r="M26" i="12"/>
  <c r="M302" i="12"/>
  <c r="M24" i="12"/>
  <c r="M96" i="12"/>
  <c r="M168" i="12"/>
  <c r="M240" i="12"/>
  <c r="M38" i="12"/>
  <c r="M183" i="12"/>
  <c r="M61" i="12"/>
  <c r="M133" i="12"/>
  <c r="M205" i="12"/>
  <c r="M277" i="12"/>
  <c r="M218" i="12"/>
  <c r="M291" i="12"/>
  <c r="M4" i="12"/>
  <c r="M173" i="12"/>
  <c r="L234" i="12"/>
  <c r="L19" i="12"/>
  <c r="M163" i="12"/>
  <c r="M307" i="12"/>
  <c r="M116" i="12"/>
  <c r="L260" i="12"/>
  <c r="L141" i="12"/>
  <c r="L285" i="12"/>
  <c r="M70" i="12"/>
  <c r="M214" i="12"/>
  <c r="M107" i="12"/>
  <c r="L251" i="12"/>
  <c r="L63" i="12"/>
  <c r="M108" i="12"/>
  <c r="M252" i="12"/>
  <c r="M255" i="12"/>
  <c r="M145" i="12"/>
  <c r="M217" i="12"/>
  <c r="M254" i="12"/>
  <c r="M101" i="12"/>
  <c r="L162" i="12"/>
  <c r="L306" i="12"/>
  <c r="L91" i="12"/>
  <c r="M235" i="12"/>
  <c r="L44" i="12"/>
  <c r="M188" i="12"/>
  <c r="L87" i="12"/>
  <c r="L69" i="12"/>
  <c r="L213" i="12"/>
  <c r="L243" i="12"/>
  <c r="M142" i="12"/>
  <c r="M286" i="12"/>
  <c r="M35" i="12"/>
  <c r="L179" i="12"/>
  <c r="M134" i="12"/>
  <c r="M36" i="12"/>
  <c r="M180" i="12"/>
  <c r="M158" i="12"/>
  <c r="M73" i="12"/>
  <c r="M289" i="12"/>
  <c r="L16" i="12"/>
  <c r="L88" i="12"/>
  <c r="M160" i="12"/>
  <c r="L232" i="12"/>
  <c r="L304" i="12"/>
  <c r="M41" i="12"/>
  <c r="M113" i="12"/>
  <c r="M185" i="12"/>
  <c r="M257" i="12"/>
  <c r="M39" i="12"/>
  <c r="L30" i="12"/>
  <c r="L102" i="12"/>
  <c r="M174" i="12"/>
  <c r="M246" i="12"/>
  <c r="M122" i="12"/>
  <c r="L31" i="12"/>
  <c r="L103" i="12"/>
  <c r="L175" i="12"/>
  <c r="L247" i="12"/>
  <c r="M86" i="12"/>
  <c r="L56" i="12"/>
  <c r="M128" i="12"/>
  <c r="M200" i="12"/>
  <c r="M272" i="12"/>
  <c r="M9" i="12"/>
  <c r="M81" i="12"/>
  <c r="M153" i="12"/>
  <c r="M225" i="12"/>
  <c r="M297" i="12"/>
  <c r="M10" i="12"/>
  <c r="M82" i="12"/>
  <c r="M154" i="12"/>
  <c r="M226" i="12"/>
  <c r="M298" i="12"/>
  <c r="L47" i="12"/>
  <c r="M119" i="12"/>
  <c r="L191" i="12"/>
  <c r="L263" i="12"/>
  <c r="M170" i="12"/>
  <c r="L171" i="12"/>
  <c r="M48" i="12"/>
  <c r="M120" i="12"/>
  <c r="M192" i="12"/>
  <c r="M264" i="12"/>
  <c r="M194" i="12"/>
  <c r="M13" i="12"/>
  <c r="M85" i="12"/>
  <c r="M157" i="12"/>
  <c r="M229" i="12"/>
  <c r="M301" i="12"/>
  <c r="M290" i="12"/>
  <c r="M29" i="12"/>
  <c r="L18" i="12"/>
  <c r="L28" i="12"/>
  <c r="L100" i="12"/>
  <c r="M172" i="12"/>
  <c r="M244" i="12"/>
  <c r="M74" i="12"/>
  <c r="L53" i="12"/>
  <c r="L125" i="12"/>
  <c r="M197" i="12"/>
  <c r="M269" i="12"/>
  <c r="L135" i="12"/>
  <c r="L42" i="12"/>
  <c r="M114" i="12"/>
  <c r="M186" i="12"/>
  <c r="M258" i="12"/>
  <c r="L99" i="12"/>
  <c r="L43" i="12"/>
  <c r="M115" i="12"/>
  <c r="M187" i="12"/>
  <c r="L259" i="12"/>
  <c r="L15" i="12"/>
  <c r="L68" i="12"/>
  <c r="M140" i="12"/>
  <c r="M212" i="12"/>
  <c r="L284" i="12"/>
  <c r="L21" i="12"/>
  <c r="M93" i="12"/>
  <c r="M165" i="12"/>
  <c r="M237" i="12"/>
  <c r="M3" i="12"/>
  <c r="M22" i="12"/>
  <c r="M94" i="12"/>
  <c r="M166" i="12"/>
  <c r="M238" i="12"/>
  <c r="M62" i="12"/>
  <c r="M59" i="12"/>
  <c r="M131" i="12"/>
  <c r="M203" i="12"/>
  <c r="M275" i="12"/>
  <c r="M206" i="12"/>
  <c r="L231" i="12"/>
  <c r="M60" i="12"/>
  <c r="M132" i="12"/>
  <c r="M204" i="12"/>
  <c r="M276" i="12"/>
  <c r="M230" i="12"/>
  <c r="M25" i="12"/>
  <c r="M97" i="12"/>
  <c r="M169" i="12"/>
  <c r="M241" i="12"/>
  <c r="M14" i="12"/>
  <c r="L27" i="12"/>
  <c r="L220" i="12"/>
  <c r="M40" i="12"/>
  <c r="L112" i="12"/>
  <c r="L184" i="12"/>
  <c r="L256" i="12"/>
  <c r="L51" i="12"/>
  <c r="L65" i="12"/>
  <c r="M137" i="12"/>
  <c r="L209" i="12"/>
  <c r="L281" i="12"/>
  <c r="M207" i="12"/>
  <c r="L54" i="12"/>
  <c r="M126" i="12"/>
  <c r="L198" i="12"/>
  <c r="L270" i="12"/>
  <c r="M195" i="12"/>
  <c r="M55" i="12"/>
  <c r="L127" i="12"/>
  <c r="L199" i="12"/>
  <c r="L271" i="12"/>
  <c r="M8" i="12"/>
  <c r="M80" i="12"/>
  <c r="M152" i="12"/>
  <c r="M224" i="12"/>
  <c r="L296" i="12"/>
  <c r="L33" i="12"/>
  <c r="M105" i="12"/>
  <c r="M177" i="12"/>
  <c r="M249" i="12"/>
  <c r="L50" i="12"/>
  <c r="L34" i="12"/>
  <c r="L106" i="12"/>
  <c r="L178" i="12"/>
  <c r="L250" i="12"/>
  <c r="M123" i="12"/>
  <c r="M71" i="12"/>
  <c r="M143" i="12"/>
  <c r="L215" i="12"/>
  <c r="L287" i="12"/>
  <c r="L242" i="12"/>
  <c r="M303" i="12"/>
  <c r="L72" i="12"/>
  <c r="L144" i="12"/>
  <c r="L216" i="12"/>
  <c r="L288" i="12"/>
  <c r="L278" i="12"/>
  <c r="L37" i="12"/>
  <c r="L109" i="12"/>
  <c r="L181" i="12"/>
  <c r="L253" i="12"/>
  <c r="L146" i="12"/>
  <c r="L147" i="12"/>
  <c r="L148" i="12"/>
  <c r="M245" i="12"/>
  <c r="L52" i="12"/>
  <c r="M124" i="12"/>
  <c r="L196" i="12"/>
  <c r="L268" i="12"/>
  <c r="L5" i="12"/>
  <c r="L77" i="12"/>
  <c r="L149" i="12"/>
  <c r="L221" i="12"/>
  <c r="L293" i="12"/>
  <c r="M279" i="12"/>
  <c r="M66" i="12"/>
  <c r="M138" i="12"/>
  <c r="M210" i="12"/>
  <c r="M282" i="12"/>
  <c r="M267" i="12"/>
  <c r="M67" i="12"/>
  <c r="L139" i="12"/>
  <c r="L211" i="12"/>
  <c r="M283" i="12"/>
  <c r="M20" i="12"/>
  <c r="M92" i="12"/>
  <c r="M164" i="12"/>
  <c r="M236" i="12"/>
  <c r="M308" i="12"/>
  <c r="L45" i="12"/>
  <c r="L117" i="12"/>
  <c r="L189" i="12"/>
  <c r="L261" i="12"/>
  <c r="L75" i="12"/>
  <c r="L46" i="12"/>
  <c r="L118" i="12"/>
  <c r="L190" i="12"/>
  <c r="L262" i="12"/>
  <c r="M11" i="12"/>
  <c r="M83" i="12"/>
  <c r="L155" i="12"/>
  <c r="L227" i="12"/>
  <c r="L299" i="12"/>
  <c r="L266" i="12"/>
  <c r="L12" i="12"/>
  <c r="L84" i="12"/>
  <c r="L156" i="12"/>
  <c r="L228" i="12"/>
  <c r="L300" i="12"/>
  <c r="L111" i="12"/>
  <c r="L49" i="12"/>
  <c r="L121" i="12"/>
  <c r="L193" i="12"/>
  <c r="L265" i="12"/>
  <c r="M76" i="12"/>
  <c r="M110" i="12"/>
  <c r="M292" i="12"/>
  <c r="L90" i="12"/>
  <c r="M64" i="12"/>
  <c r="L136" i="12"/>
  <c r="M208" i="12"/>
  <c r="M280" i="12"/>
  <c r="M17" i="12"/>
  <c r="M89" i="12"/>
  <c r="M161" i="12"/>
  <c r="M233" i="12"/>
  <c r="M305" i="12"/>
  <c r="M6" i="12"/>
  <c r="L78" i="12"/>
  <c r="L150" i="12"/>
  <c r="L222" i="12"/>
  <c r="L294" i="12"/>
  <c r="M7" i="12"/>
  <c r="M79" i="12"/>
  <c r="M151" i="12"/>
  <c r="L223" i="12"/>
  <c r="L295" i="12"/>
  <c r="M32" i="12"/>
  <c r="M104" i="12"/>
  <c r="M176" i="12"/>
  <c r="M248" i="12"/>
  <c r="L98" i="12"/>
  <c r="L57" i="12"/>
  <c r="L129" i="12"/>
  <c r="L201" i="12"/>
  <c r="L273" i="12"/>
  <c r="M159" i="12"/>
  <c r="L58" i="12"/>
  <c r="L130" i="12"/>
  <c r="L202" i="12"/>
  <c r="L274" i="12"/>
  <c r="M23" i="12"/>
  <c r="L95" i="12"/>
  <c r="L167" i="12"/>
  <c r="L239" i="12"/>
  <c r="L26" i="12"/>
  <c r="L302" i="12"/>
  <c r="L24" i="12"/>
  <c r="L96" i="12"/>
  <c r="L168" i="12"/>
  <c r="L240" i="12"/>
  <c r="L38" i="12"/>
  <c r="L183" i="12"/>
  <c r="L61" i="12"/>
  <c r="L133" i="12"/>
  <c r="L205" i="12"/>
  <c r="L277" i="12"/>
  <c r="L218" i="12"/>
  <c r="A64" i="15" l="1"/>
  <c r="A79" i="15"/>
  <c r="A133" i="15"/>
  <c r="A115" i="15"/>
  <c r="A51" i="15"/>
  <c r="A53" i="15"/>
  <c r="A86" i="15"/>
  <c r="A138" i="15"/>
  <c r="A142" i="15"/>
  <c r="A104" i="15"/>
  <c r="A60" i="15"/>
  <c r="A140" i="15"/>
  <c r="A87" i="15"/>
  <c r="A149" i="15"/>
  <c r="A123" i="15"/>
  <c r="A68" i="15"/>
  <c r="A72" i="15"/>
  <c r="A134" i="15"/>
  <c r="A129" i="15"/>
  <c r="A88" i="15"/>
  <c r="A108" i="15"/>
  <c r="A124" i="15"/>
  <c r="A94" i="15"/>
  <c r="A65" i="15"/>
  <c r="A93" i="15"/>
  <c r="A97" i="15"/>
  <c r="A84" i="15"/>
  <c r="A137" i="15"/>
  <c r="A83" i="15"/>
  <c r="A90" i="15"/>
  <c r="A119" i="15"/>
  <c r="A126" i="15"/>
  <c r="A130" i="15"/>
  <c r="A122" i="15"/>
  <c r="A113" i="15"/>
  <c r="A121" i="15"/>
  <c r="A103" i="15"/>
  <c r="A59" i="15"/>
  <c r="A139" i="15"/>
  <c r="A74" i="15"/>
  <c r="A144" i="15"/>
  <c r="A57" i="15"/>
  <c r="A61" i="15"/>
  <c r="A146" i="15"/>
  <c r="A128" i="15"/>
  <c r="A75" i="15"/>
  <c r="A120" i="15"/>
  <c r="A111" i="15"/>
  <c r="A81" i="15"/>
  <c r="A85" i="15"/>
  <c r="A101" i="15"/>
  <c r="A76" i="15"/>
  <c r="A55" i="15"/>
  <c r="A112" i="15"/>
  <c r="A82" i="15"/>
  <c r="A148" i="15"/>
  <c r="A118" i="15"/>
  <c r="A110" i="15"/>
  <c r="A67" i="15"/>
  <c r="A125" i="15"/>
  <c r="A71" i="15"/>
  <c r="A78" i="15"/>
  <c r="A107" i="15"/>
  <c r="A114" i="15"/>
  <c r="A143" i="15"/>
  <c r="A147" i="15"/>
  <c r="A92" i="15"/>
  <c r="A91" i="15"/>
  <c r="A145" i="15"/>
  <c r="A127" i="15"/>
  <c r="A62" i="15"/>
  <c r="A96" i="15"/>
  <c r="A73" i="15"/>
  <c r="A89" i="15"/>
  <c r="A117" i="15"/>
  <c r="A116" i="15"/>
  <c r="A63" i="15"/>
  <c r="A54" i="15"/>
  <c r="A99" i="15"/>
  <c r="A69" i="15"/>
  <c r="A98" i="15"/>
  <c r="A52" i="15"/>
  <c r="A56" i="15"/>
  <c r="A109" i="15"/>
  <c r="A141" i="15"/>
  <c r="A100" i="15"/>
  <c r="A70" i="15"/>
  <c r="A136" i="15"/>
  <c r="A106" i="15"/>
  <c r="A135" i="15"/>
  <c r="A80" i="15"/>
  <c r="A58" i="15"/>
  <c r="A132" i="15"/>
  <c r="A66" i="15"/>
  <c r="A95" i="15"/>
  <c r="A102" i="15"/>
  <c r="A131" i="15"/>
  <c r="A77" i="15"/>
  <c r="A105" i="15"/>
  <c r="A50" i="15"/>
  <c r="S5" i="12"/>
  <c r="AM4" i="12" s="1"/>
  <c r="S6" i="12"/>
  <c r="S10" i="12"/>
  <c r="S7" i="12"/>
  <c r="S22" i="12"/>
  <c r="S19" i="12"/>
  <c r="S36" i="12"/>
  <c r="S11" i="12"/>
  <c r="S32" i="12"/>
  <c r="S27" i="12"/>
  <c r="S29" i="12"/>
  <c r="S34" i="12"/>
  <c r="S26" i="12"/>
  <c r="S13" i="12"/>
  <c r="S31" i="12"/>
  <c r="S23" i="12"/>
  <c r="S35" i="12"/>
  <c r="S18" i="12"/>
  <c r="S12" i="12"/>
  <c r="S24" i="12"/>
  <c r="S14" i="12"/>
  <c r="S9" i="12"/>
  <c r="S25" i="12"/>
  <c r="S20" i="12"/>
  <c r="S16" i="12"/>
  <c r="S30" i="12"/>
  <c r="S21" i="12"/>
  <c r="S37" i="12"/>
  <c r="S8" i="12"/>
  <c r="S33" i="12"/>
  <c r="S28" i="12"/>
  <c r="S17" i="12"/>
  <c r="S15" i="12"/>
  <c r="X30" i="15" l="1"/>
  <c r="X26" i="15"/>
  <c r="X8" i="15"/>
  <c r="X24" i="15"/>
  <c r="X22" i="15"/>
  <c r="X34" i="15"/>
  <c r="X35" i="15"/>
  <c r="X19" i="15"/>
  <c r="X6" i="15"/>
  <c r="X9" i="15"/>
  <c r="X12" i="15"/>
  <c r="X33" i="15"/>
  <c r="X10" i="15"/>
  <c r="X36" i="15"/>
  <c r="X32" i="15"/>
  <c r="X31" i="15"/>
  <c r="X20" i="15"/>
  <c r="X15" i="15"/>
  <c r="X21" i="15"/>
  <c r="X27" i="15"/>
  <c r="X4" i="15"/>
  <c r="X16" i="15"/>
  <c r="X28" i="15"/>
  <c r="X13" i="15"/>
  <c r="X18" i="15"/>
  <c r="X25" i="15"/>
  <c r="X5" i="15"/>
  <c r="X11" i="15"/>
  <c r="Y11" i="15" s="1"/>
  <c r="X37" i="15"/>
  <c r="X17" i="15"/>
  <c r="X23" i="15"/>
  <c r="X7" i="15"/>
  <c r="X29" i="15"/>
  <c r="X14" i="15"/>
  <c r="AF4" i="12"/>
  <c r="AE4" i="12"/>
  <c r="AN5" i="12"/>
  <c r="AN4" i="12"/>
  <c r="AK4" i="12"/>
  <c r="AL4" i="12"/>
  <c r="AH4" i="12"/>
  <c r="AG4" i="12"/>
  <c r="AH5" i="12"/>
  <c r="AN16" i="12"/>
  <c r="AM8" i="12"/>
  <c r="AF17" i="12"/>
  <c r="AF12" i="12"/>
  <c r="AG14" i="12"/>
  <c r="AF8" i="12"/>
  <c r="AF19" i="12"/>
  <c r="AG11" i="12"/>
  <c r="AF5" i="12"/>
  <c r="AF16" i="12"/>
  <c r="AN15" i="12"/>
  <c r="AH9" i="12"/>
  <c r="AN13" i="12"/>
  <c r="AF10" i="12"/>
  <c r="AM20" i="12"/>
  <c r="AL6" i="12"/>
  <c r="AF9" i="12"/>
  <c r="AF18" i="12"/>
  <c r="AN14" i="12"/>
  <c r="AH19" i="12"/>
  <c r="AG13" i="12"/>
  <c r="AF7" i="12"/>
  <c r="AH16" i="12"/>
  <c r="AG10" i="12"/>
  <c r="AF15" i="12"/>
  <c r="AF20" i="12"/>
  <c r="AF6" i="12"/>
  <c r="AL15" i="12"/>
  <c r="AM11" i="12"/>
  <c r="AG16" i="12"/>
  <c r="AH7" i="12"/>
  <c r="AH18" i="12"/>
  <c r="AG12" i="12"/>
  <c r="AH15" i="12"/>
  <c r="AG9" i="12"/>
  <c r="AG20" i="12"/>
  <c r="AF13" i="12"/>
  <c r="AG15" i="12"/>
  <c r="AL13" i="12"/>
  <c r="AH6" i="12"/>
  <c r="AH17" i="12"/>
  <c r="AL10" i="12"/>
  <c r="AH14" i="12"/>
  <c r="AG8" i="12"/>
  <c r="AG18" i="12"/>
  <c r="AH20" i="12"/>
  <c r="AM18" i="12"/>
  <c r="AL12" i="12"/>
  <c r="AM15" i="12"/>
  <c r="AL9" i="12"/>
  <c r="AL20" i="12"/>
  <c r="AH13" i="12"/>
  <c r="AG6" i="12"/>
  <c r="AH8" i="12"/>
  <c r="AM6" i="12"/>
  <c r="AM17" i="12"/>
  <c r="AL11" i="12"/>
  <c r="AN20" i="12"/>
  <c r="AM14" i="12"/>
  <c r="AL8" i="12"/>
  <c r="AL19" i="12"/>
  <c r="AH11" i="12"/>
  <c r="AL14" i="12"/>
  <c r="AN11" i="12"/>
  <c r="AM5" i="12"/>
  <c r="AM16" i="12"/>
  <c r="AN8" i="12"/>
  <c r="AN19" i="12"/>
  <c r="AM13" i="12"/>
  <c r="AL7" i="12"/>
  <c r="AL17" i="12"/>
  <c r="AM19" i="12"/>
  <c r="AH12" i="12"/>
  <c r="AN10" i="12"/>
  <c r="AG7" i="12"/>
  <c r="AN7" i="12"/>
  <c r="AN18" i="12"/>
  <c r="AM12" i="12"/>
  <c r="AL5" i="12"/>
  <c r="AM7" i="12"/>
  <c r="AG5" i="12"/>
  <c r="AF14" i="12"/>
  <c r="AN9" i="12"/>
  <c r="AL16" i="12"/>
  <c r="AL18" i="12"/>
  <c r="AN6" i="12"/>
  <c r="AN17" i="12"/>
  <c r="AM10" i="12"/>
  <c r="AN12" i="12"/>
  <c r="AM9" i="12"/>
  <c r="AH10" i="12"/>
  <c r="AF11" i="12"/>
  <c r="AG17" i="12"/>
  <c r="AG19" i="12"/>
  <c r="AK10" i="12"/>
  <c r="AK17" i="12"/>
  <c r="AK13" i="12"/>
  <c r="AK5" i="12"/>
  <c r="AK6" i="12"/>
  <c r="AK11" i="12"/>
  <c r="AK19" i="12"/>
  <c r="AK15" i="12"/>
  <c r="AK12" i="12"/>
  <c r="AK16" i="12"/>
  <c r="AK9" i="12"/>
  <c r="AE5" i="12"/>
  <c r="AK20" i="12"/>
  <c r="AK14" i="12"/>
  <c r="AK8" i="12"/>
  <c r="AK7" i="12"/>
  <c r="AK18" i="12"/>
  <c r="AE7" i="12"/>
  <c r="AE12" i="12"/>
  <c r="AE6" i="12"/>
  <c r="AE11" i="12"/>
  <c r="AE18" i="12"/>
  <c r="AE10" i="12"/>
  <c r="AE9" i="12"/>
  <c r="AE15" i="12"/>
  <c r="AE19" i="12"/>
  <c r="AE20" i="12"/>
  <c r="AE16" i="12"/>
  <c r="AE8" i="12"/>
  <c r="AE14" i="12"/>
  <c r="AE17" i="12"/>
  <c r="AE13" i="12"/>
  <c r="Y13" i="15" l="1"/>
  <c r="Y33" i="15"/>
  <c r="Y28" i="15"/>
  <c r="Y12" i="15"/>
  <c r="Y14" i="15"/>
  <c r="Y16" i="15"/>
  <c r="Y9" i="15"/>
  <c r="Y29" i="15"/>
  <c r="Y4" i="15"/>
  <c r="Y6" i="15"/>
  <c r="Y7" i="15"/>
  <c r="Y27" i="15"/>
  <c r="Y19" i="15"/>
  <c r="Y23" i="15"/>
  <c r="Y21" i="15"/>
  <c r="Y35" i="15"/>
  <c r="Z35" i="15" s="1"/>
  <c r="Y17" i="15"/>
  <c r="Y15" i="15"/>
  <c r="Y34" i="15"/>
  <c r="Z37" i="15"/>
  <c r="Y37" i="15"/>
  <c r="Y20" i="15"/>
  <c r="Y22" i="15"/>
  <c r="Y31" i="15"/>
  <c r="Y24" i="15"/>
  <c r="Y5" i="15"/>
  <c r="Y32" i="15"/>
  <c r="Y8" i="15"/>
  <c r="Y25" i="15"/>
  <c r="Y36" i="15"/>
  <c r="Z36" i="15"/>
  <c r="Y26" i="15"/>
  <c r="Y18" i="15"/>
  <c r="Y10" i="15"/>
  <c r="Y30" i="15"/>
  <c r="Q63" i="2"/>
  <c r="R65" i="2"/>
  <c r="R66" i="2"/>
  <c r="R67" i="2"/>
  <c r="R68" i="2"/>
  <c r="R69" i="2"/>
  <c r="R70" i="2"/>
  <c r="R71" i="2"/>
  <c r="R72" i="2"/>
  <c r="R73" i="2"/>
  <c r="R75" i="2"/>
  <c r="R76" i="2"/>
  <c r="R77" i="2"/>
  <c r="R78" i="2"/>
  <c r="R79" i="2"/>
  <c r="R80" i="2"/>
  <c r="R81" i="2"/>
  <c r="R82" i="2"/>
  <c r="R83" i="2"/>
  <c r="R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64" i="2"/>
  <c r="L85" i="2"/>
  <c r="M87" i="2"/>
  <c r="M88" i="2"/>
  <c r="M89" i="2"/>
  <c r="M90" i="2"/>
  <c r="M91" i="2"/>
  <c r="M92" i="2"/>
  <c r="M93" i="2"/>
  <c r="M94" i="2"/>
  <c r="M95" i="2"/>
  <c r="M97" i="2"/>
  <c r="M98" i="2"/>
  <c r="M99" i="2"/>
  <c r="M100" i="2"/>
  <c r="M101" i="2"/>
  <c r="M102" i="2"/>
  <c r="M103" i="2"/>
  <c r="M104" i="2"/>
  <c r="M105" i="2"/>
  <c r="M106" i="2"/>
  <c r="M108" i="2"/>
  <c r="M109" i="2"/>
  <c r="M110" i="2"/>
  <c r="M111" i="2"/>
  <c r="M112" i="2"/>
  <c r="M113" i="2"/>
  <c r="M114" i="2"/>
  <c r="M115" i="2"/>
  <c r="M116" i="2"/>
  <c r="M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86" i="2"/>
  <c r="L63" i="2"/>
  <c r="M65" i="2"/>
  <c r="M66" i="2"/>
  <c r="M67" i="2"/>
  <c r="M68" i="2"/>
  <c r="M69" i="2"/>
  <c r="M70" i="2"/>
  <c r="M71" i="2"/>
  <c r="M72" i="2"/>
  <c r="M73" i="2"/>
  <c r="M75" i="2"/>
  <c r="M76" i="2"/>
  <c r="M77" i="2"/>
  <c r="M78" i="2"/>
  <c r="M79" i="2"/>
  <c r="M80" i="2"/>
  <c r="M81" i="2"/>
  <c r="M82" i="2"/>
  <c r="M83" i="2"/>
  <c r="M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64" i="2"/>
  <c r="G85" i="2"/>
  <c r="H87" i="2"/>
  <c r="H88" i="2"/>
  <c r="H89" i="2"/>
  <c r="H90" i="2"/>
  <c r="H91" i="2"/>
  <c r="H92" i="2"/>
  <c r="H93" i="2"/>
  <c r="H94" i="2"/>
  <c r="H95" i="2"/>
  <c r="H97" i="2"/>
  <c r="H98" i="2"/>
  <c r="H99" i="2"/>
  <c r="H100" i="2"/>
  <c r="H101" i="2"/>
  <c r="H102" i="2"/>
  <c r="H103" i="2"/>
  <c r="H104" i="2"/>
  <c r="H105" i="2"/>
  <c r="H106" i="2"/>
  <c r="H108" i="2"/>
  <c r="H109" i="2"/>
  <c r="H110" i="2"/>
  <c r="H111" i="2"/>
  <c r="H112" i="2"/>
  <c r="H113" i="2"/>
  <c r="H114" i="2"/>
  <c r="H115" i="2"/>
  <c r="H116" i="2"/>
  <c r="H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86" i="2"/>
  <c r="G63" i="2"/>
  <c r="H65" i="2"/>
  <c r="H66" i="2"/>
  <c r="H67" i="2"/>
  <c r="H68" i="2"/>
  <c r="H69" i="2"/>
  <c r="H70" i="2"/>
  <c r="H71" i="2"/>
  <c r="H72" i="2"/>
  <c r="H73" i="2"/>
  <c r="H75" i="2"/>
  <c r="H76" i="2"/>
  <c r="H77" i="2"/>
  <c r="H78" i="2"/>
  <c r="H79" i="2"/>
  <c r="H80" i="2"/>
  <c r="H81" i="2"/>
  <c r="H82" i="2"/>
  <c r="H83" i="2"/>
  <c r="H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64" i="2"/>
  <c r="C87" i="2"/>
  <c r="C88" i="2"/>
  <c r="C89" i="2"/>
  <c r="C90" i="2"/>
  <c r="C91" i="2"/>
  <c r="C92" i="2"/>
  <c r="C93" i="2"/>
  <c r="C94" i="2"/>
  <c r="C95" i="2"/>
  <c r="C97" i="2"/>
  <c r="C98" i="2"/>
  <c r="C99" i="2"/>
  <c r="C100" i="2"/>
  <c r="C101" i="2"/>
  <c r="C102" i="2"/>
  <c r="C103" i="2"/>
  <c r="C104" i="2"/>
  <c r="C105" i="2"/>
  <c r="C106" i="2"/>
  <c r="C108" i="2"/>
  <c r="C109" i="2"/>
  <c r="C110" i="2"/>
  <c r="C111" i="2"/>
  <c r="C112" i="2"/>
  <c r="C113" i="2"/>
  <c r="C114" i="2"/>
  <c r="C115" i="2"/>
  <c r="C116" i="2"/>
  <c r="C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86" i="2"/>
  <c r="C65" i="2"/>
  <c r="C66" i="2"/>
  <c r="C67" i="2"/>
  <c r="C68" i="2"/>
  <c r="C69" i="2"/>
  <c r="C70" i="2"/>
  <c r="C71" i="2"/>
  <c r="C72" i="2"/>
  <c r="C73" i="2"/>
  <c r="C75" i="2"/>
  <c r="C76" i="2"/>
  <c r="C77" i="2"/>
  <c r="C78" i="2"/>
  <c r="C79" i="2"/>
  <c r="C80" i="2"/>
  <c r="C81" i="2"/>
  <c r="C82" i="2"/>
  <c r="C83" i="2"/>
  <c r="C64" i="2"/>
  <c r="B65" i="2"/>
  <c r="B66" i="2"/>
  <c r="B67" i="2"/>
  <c r="B68" i="2"/>
  <c r="B69" i="2"/>
  <c r="B70" i="2"/>
  <c r="B71" i="2"/>
  <c r="B72" i="2"/>
  <c r="B73" i="2"/>
  <c r="B75" i="2"/>
  <c r="B76" i="2"/>
  <c r="B77" i="2"/>
  <c r="B78" i="2"/>
  <c r="B79" i="2"/>
  <c r="B80" i="2"/>
  <c r="B81" i="2"/>
  <c r="B82" i="2"/>
  <c r="B83" i="2"/>
  <c r="B64" i="2"/>
  <c r="R26" i="2"/>
  <c r="Q26" i="2"/>
  <c r="B6" i="2"/>
  <c r="C6" i="2"/>
  <c r="B7" i="2"/>
  <c r="C7" i="2"/>
  <c r="B8" i="2"/>
  <c r="C8" i="2"/>
  <c r="Z20" i="15" l="1"/>
  <c r="Z14" i="15"/>
  <c r="Z26" i="15"/>
  <c r="Z4" i="15"/>
  <c r="Z34" i="15"/>
  <c r="Z29" i="15"/>
  <c r="Z5" i="15"/>
  <c r="Z9" i="15"/>
  <c r="Z21" i="15"/>
  <c r="Z28" i="15"/>
  <c r="Z24" i="15"/>
  <c r="Z23" i="15"/>
  <c r="Z33" i="15"/>
  <c r="Z22" i="15"/>
  <c r="Z31" i="15"/>
  <c r="Z19" i="15"/>
  <c r="Z13" i="15"/>
  <c r="Z15" i="15"/>
  <c r="Z27" i="15"/>
  <c r="Z16" i="15"/>
  <c r="Z17" i="15"/>
  <c r="Z7" i="15"/>
  <c r="Z25" i="15"/>
  <c r="Z11" i="15"/>
  <c r="Z6" i="15"/>
  <c r="Z12" i="15"/>
  <c r="Z30" i="15"/>
  <c r="Z8" i="15"/>
  <c r="Z10" i="15"/>
  <c r="Z32" i="15"/>
  <c r="Z18" i="15"/>
  <c r="P13" i="1"/>
  <c r="P24" i="1"/>
  <c r="P35" i="1"/>
  <c r="P46" i="1"/>
  <c r="P57" i="1"/>
  <c r="P68" i="1"/>
  <c r="P79" i="1"/>
  <c r="P90" i="1"/>
  <c r="P101" i="1"/>
  <c r="P112" i="1"/>
  <c r="P123" i="1"/>
  <c r="P134" i="1"/>
  <c r="P145" i="1"/>
  <c r="P156" i="1"/>
  <c r="P167" i="1"/>
  <c r="P178" i="1"/>
  <c r="P189" i="1"/>
  <c r="P200" i="1"/>
  <c r="P211" i="1"/>
  <c r="P222" i="1"/>
  <c r="P233" i="1"/>
  <c r="P244" i="1"/>
  <c r="P255" i="1"/>
  <c r="P266" i="1"/>
  <c r="P277" i="1"/>
  <c r="P288" i="1"/>
  <c r="P299" i="1"/>
  <c r="P321" i="1"/>
  <c r="P332" i="1"/>
  <c r="P343" i="1"/>
  <c r="P354" i="1"/>
  <c r="P365" i="1"/>
  <c r="P366" i="1"/>
  <c r="O13" i="1"/>
  <c r="O24" i="1"/>
  <c r="O35" i="1"/>
  <c r="O46" i="1"/>
  <c r="O57" i="1"/>
  <c r="O68" i="1"/>
  <c r="O79" i="1"/>
  <c r="O90" i="1"/>
  <c r="O101" i="1"/>
  <c r="O112" i="1"/>
  <c r="O123" i="1"/>
  <c r="O134" i="1"/>
  <c r="O145" i="1"/>
  <c r="O156" i="1"/>
  <c r="O167" i="1"/>
  <c r="O178" i="1"/>
  <c r="O189" i="1"/>
  <c r="O200" i="1"/>
  <c r="O211" i="1"/>
  <c r="O222" i="1"/>
  <c r="O233" i="1"/>
  <c r="O244" i="1"/>
  <c r="O255" i="1"/>
  <c r="O266" i="1"/>
  <c r="O277" i="1"/>
  <c r="O288" i="1"/>
  <c r="O299" i="1"/>
  <c r="O321" i="1"/>
  <c r="O332" i="1"/>
  <c r="O343" i="1"/>
  <c r="O354" i="1"/>
  <c r="O365" i="1"/>
  <c r="B310" i="1" l="1"/>
  <c r="O310" i="1" s="1"/>
  <c r="M310" i="1"/>
  <c r="P310" i="1" s="1"/>
  <c r="Z6" i="1" l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5" i="1"/>
  <c r="K20" i="11"/>
  <c r="V35" i="11"/>
  <c r="AK12" i="11"/>
  <c r="AL14" i="11"/>
  <c r="AG10" i="11"/>
  <c r="W30" i="11"/>
  <c r="AI26" i="11"/>
  <c r="I29" i="11"/>
  <c r="AK25" i="11"/>
  <c r="N26" i="11"/>
  <c r="P3" i="11"/>
  <c r="I5" i="11"/>
  <c r="I39" i="11"/>
  <c r="S38" i="11"/>
  <c r="AA28" i="11"/>
  <c r="I33" i="11"/>
  <c r="V4" i="11"/>
  <c r="I35" i="11"/>
  <c r="AC10" i="11"/>
  <c r="N3" i="11"/>
  <c r="AF17" i="11"/>
  <c r="R6" i="11"/>
  <c r="AK4" i="11"/>
  <c r="J20" i="11"/>
  <c r="X7" i="11"/>
  <c r="AH18" i="11"/>
  <c r="N40" i="11"/>
  <c r="AF32" i="11"/>
  <c r="AK28" i="11"/>
  <c r="Q16" i="11"/>
  <c r="Y14" i="11"/>
  <c r="Z30" i="11"/>
  <c r="N17" i="11"/>
  <c r="AE14" i="11"/>
  <c r="Q35" i="11"/>
  <c r="AD18" i="11"/>
  <c r="AD31" i="11"/>
  <c r="M11" i="11"/>
  <c r="AK38" i="11"/>
  <c r="X32" i="11"/>
  <c r="O39" i="11"/>
  <c r="M4" i="11"/>
  <c r="Y35" i="11"/>
  <c r="AA10" i="11"/>
  <c r="Y40" i="11"/>
  <c r="V20" i="11"/>
  <c r="W18" i="11"/>
  <c r="X30" i="11"/>
  <c r="X13" i="11"/>
  <c r="L17" i="11"/>
  <c r="AG38" i="11"/>
  <c r="AJ24" i="11"/>
  <c r="AK23" i="11"/>
  <c r="V36" i="11"/>
  <c r="AB19" i="11"/>
  <c r="H11" i="11"/>
  <c r="AE23" i="11"/>
  <c r="Y28" i="11"/>
  <c r="O37" i="11"/>
  <c r="S26" i="11"/>
  <c r="S17" i="11"/>
  <c r="F11" i="11"/>
  <c r="E30" i="11"/>
  <c r="AF40" i="11"/>
  <c r="Y29" i="11"/>
  <c r="Y31" i="11"/>
  <c r="J23" i="11"/>
  <c r="AG28" i="11"/>
  <c r="AA4" i="11"/>
  <c r="AL30" i="11"/>
  <c r="Q38" i="11"/>
  <c r="O25" i="11"/>
  <c r="AI38" i="11"/>
  <c r="P34" i="11"/>
  <c r="AE4" i="11"/>
  <c r="H8" i="11"/>
  <c r="E29" i="11"/>
  <c r="I3" i="11"/>
  <c r="AF18" i="11"/>
  <c r="N27" i="11"/>
  <c r="H36" i="11"/>
  <c r="R19" i="11"/>
  <c r="AB40" i="11"/>
  <c r="E39" i="11"/>
  <c r="AD32" i="11"/>
  <c r="AF8" i="11"/>
  <c r="AB36" i="11"/>
  <c r="AH6" i="11"/>
  <c r="F20" i="11"/>
  <c r="L23" i="11"/>
  <c r="AG20" i="11"/>
  <c r="AJ29" i="11"/>
  <c r="R36" i="11"/>
  <c r="W24" i="11"/>
  <c r="AL18" i="11"/>
  <c r="W28" i="11"/>
  <c r="AH15" i="11"/>
  <c r="L31" i="11"/>
  <c r="F17" i="11"/>
  <c r="AD17" i="11"/>
  <c r="AD15" i="11"/>
  <c r="Z23" i="11"/>
  <c r="X36" i="11"/>
  <c r="AD24" i="11"/>
  <c r="AH30" i="11"/>
  <c r="I27" i="11"/>
  <c r="AK17" i="11"/>
  <c r="AC27" i="11"/>
  <c r="AH40" i="11"/>
  <c r="AB13" i="11"/>
  <c r="AE12" i="11"/>
  <c r="AA37" i="11"/>
  <c r="U10" i="11"/>
  <c r="AB15" i="11"/>
  <c r="G33" i="11"/>
  <c r="M16" i="11"/>
  <c r="AF13" i="11"/>
  <c r="AG39" i="11"/>
  <c r="AA27" i="11"/>
  <c r="V26" i="11"/>
  <c r="P8" i="11"/>
  <c r="X20" i="11"/>
  <c r="R27" i="11"/>
  <c r="W39" i="11"/>
  <c r="Q7" i="11"/>
  <c r="E13" i="11"/>
  <c r="AC4" i="11"/>
  <c r="AI35" i="11"/>
  <c r="R30" i="11"/>
  <c r="AH5" i="11"/>
  <c r="X17" i="11"/>
  <c r="AE7" i="11"/>
  <c r="N19" i="11"/>
  <c r="AL13" i="11"/>
  <c r="S20" i="11"/>
  <c r="AH3" i="11"/>
  <c r="S35" i="11"/>
  <c r="W40" i="11"/>
  <c r="W12" i="11"/>
  <c r="N13" i="11"/>
  <c r="U25" i="11"/>
  <c r="AC29" i="11"/>
  <c r="R29" i="11"/>
  <c r="U19" i="11"/>
  <c r="AB11" i="11"/>
  <c r="U7" i="11"/>
  <c r="J17" i="11"/>
  <c r="AF30" i="11"/>
  <c r="AJ37" i="11"/>
  <c r="AG12" i="11"/>
  <c r="Q29" i="11"/>
  <c r="AE37" i="11"/>
  <c r="G12" i="11"/>
  <c r="K31" i="11"/>
  <c r="AJ3" i="11"/>
  <c r="Q25" i="11"/>
  <c r="I31" i="11"/>
  <c r="I12" i="11"/>
  <c r="G40" i="11"/>
  <c r="AI4" i="11"/>
  <c r="M37" i="11"/>
  <c r="M10" i="11"/>
  <c r="AH27" i="11"/>
  <c r="AE25" i="11"/>
  <c r="W13" i="11"/>
  <c r="I6" i="11"/>
  <c r="AL24" i="11"/>
  <c r="T29" i="11"/>
  <c r="AD36" i="11"/>
  <c r="P9" i="11"/>
  <c r="AH8" i="11"/>
  <c r="R13" i="11"/>
  <c r="J24" i="11"/>
  <c r="V7" i="11"/>
  <c r="V23" i="11"/>
  <c r="AH31" i="11"/>
  <c r="AL16" i="11"/>
  <c r="AE10" i="11"/>
  <c r="S28" i="11"/>
  <c r="I14" i="11"/>
  <c r="AE39" i="11"/>
  <c r="AB26" i="11"/>
  <c r="K4" i="11"/>
  <c r="M3" i="11"/>
  <c r="AB24" i="11"/>
  <c r="R31" i="11"/>
  <c r="S10" i="11"/>
  <c r="AA6" i="11"/>
  <c r="V32" i="11"/>
  <c r="L32" i="11"/>
  <c r="Z24" i="11"/>
  <c r="AG23" i="11"/>
  <c r="H26" i="11"/>
  <c r="AE38" i="11"/>
  <c r="J8" i="11"/>
  <c r="Q14" i="11"/>
  <c r="R14" i="11"/>
  <c r="Q17" i="11"/>
  <c r="T39" i="11"/>
  <c r="F4" i="11"/>
  <c r="V17" i="11"/>
  <c r="P19" i="11"/>
  <c r="AE29" i="11"/>
  <c r="Y6" i="11"/>
  <c r="AG33" i="11"/>
  <c r="R8" i="11"/>
  <c r="O28" i="11"/>
  <c r="AK11" i="11"/>
  <c r="AE33" i="11"/>
  <c r="AJ40" i="11"/>
  <c r="L36" i="11"/>
  <c r="M12" i="11"/>
  <c r="V10" i="11"/>
  <c r="H19" i="11"/>
  <c r="K5" i="11"/>
  <c r="AG16" i="11"/>
  <c r="AF5" i="11"/>
  <c r="S11" i="11"/>
  <c r="Y33" i="11"/>
  <c r="AI23" i="11"/>
  <c r="AE20" i="11"/>
  <c r="AF31" i="11"/>
  <c r="H34" i="11"/>
  <c r="AB9" i="11"/>
  <c r="W31" i="11"/>
  <c r="F7" i="11"/>
  <c r="L7" i="11"/>
  <c r="Y16" i="11"/>
  <c r="M35" i="11"/>
  <c r="U4" i="11"/>
  <c r="AC25" i="11"/>
  <c r="N31" i="11"/>
  <c r="X9" i="11"/>
  <c r="X23" i="11"/>
  <c r="AJ19" i="11"/>
  <c r="V38" i="11"/>
  <c r="P15" i="11"/>
  <c r="AJ14" i="11"/>
  <c r="AB30" i="11"/>
  <c r="L15" i="11"/>
  <c r="T3" i="11"/>
  <c r="AC14" i="11"/>
  <c r="AA14" i="11"/>
  <c r="AF19" i="11"/>
  <c r="I40" i="11"/>
  <c r="H24" i="11"/>
  <c r="K35" i="11"/>
  <c r="E24" i="11"/>
  <c r="O20" i="11"/>
  <c r="S4" i="11"/>
  <c r="S9" i="11"/>
  <c r="O29" i="11"/>
  <c r="V9" i="11"/>
  <c r="F9" i="11"/>
  <c r="X11" i="11"/>
  <c r="Z9" i="11"/>
  <c r="AA39" i="11"/>
  <c r="P24" i="11"/>
  <c r="AB32" i="11"/>
  <c r="AL6" i="11"/>
  <c r="AI7" i="11"/>
  <c r="AH9" i="11"/>
  <c r="M27" i="11"/>
  <c r="F26" i="11"/>
  <c r="Q11" i="11"/>
  <c r="F32" i="11"/>
  <c r="X25" i="11"/>
  <c r="E14" i="11"/>
  <c r="AE35" i="11"/>
  <c r="I16" i="11"/>
  <c r="J11" i="11"/>
  <c r="G24" i="11"/>
  <c r="AK20" i="11"/>
  <c r="Z36" i="11"/>
  <c r="R32" i="11"/>
  <c r="AH32" i="11"/>
  <c r="E18" i="11"/>
  <c r="W3" i="11"/>
  <c r="Z25" i="11"/>
  <c r="X35" i="11"/>
  <c r="Z34" i="11"/>
  <c r="O11" i="11"/>
  <c r="L5" i="11"/>
  <c r="M38" i="11"/>
  <c r="AK36" i="11"/>
  <c r="U26" i="11"/>
  <c r="AI20" i="11"/>
  <c r="S25" i="11"/>
  <c r="N15" i="11"/>
  <c r="S7" i="11"/>
  <c r="Z38" i="11"/>
  <c r="P5" i="11"/>
  <c r="Y39" i="11"/>
  <c r="AJ31" i="11"/>
  <c r="Q26" i="11"/>
  <c r="F25" i="11"/>
  <c r="F8" i="11"/>
  <c r="T8" i="11"/>
  <c r="J19" i="11"/>
  <c r="E31" i="11"/>
  <c r="G3" i="11"/>
  <c r="N36" i="11"/>
  <c r="AE16" i="11"/>
  <c r="AH34" i="11"/>
  <c r="AF26" i="11"/>
  <c r="P36" i="11"/>
  <c r="AF24" i="11"/>
  <c r="G6" i="11"/>
  <c r="F10" i="11"/>
  <c r="S39" i="11"/>
  <c r="P30" i="11"/>
  <c r="O33" i="11"/>
  <c r="E15" i="11"/>
  <c r="L30" i="11"/>
  <c r="AJ5" i="11"/>
  <c r="AJ27" i="11"/>
  <c r="U34" i="11"/>
  <c r="AI12" i="11"/>
  <c r="AL29" i="11"/>
  <c r="Y3" i="11"/>
  <c r="G15" i="11"/>
  <c r="K37" i="11"/>
  <c r="J25" i="11"/>
  <c r="K16" i="11"/>
  <c r="U38" i="11"/>
  <c r="M14" i="11"/>
  <c r="O7" i="11"/>
  <c r="T18" i="11"/>
  <c r="AB25" i="11"/>
  <c r="K29" i="11"/>
  <c r="T30" i="11"/>
  <c r="U36" i="11"/>
  <c r="AL15" i="11"/>
  <c r="X38" i="11"/>
  <c r="AL37" i="11"/>
  <c r="V11" i="11"/>
  <c r="AA35" i="11"/>
  <c r="Q20" i="11"/>
  <c r="G31" i="11"/>
  <c r="G29" i="11"/>
  <c r="U23" i="11"/>
  <c r="J7" i="11"/>
  <c r="N30" i="11"/>
  <c r="G18" i="11"/>
  <c r="AD9" i="11"/>
  <c r="G16" i="11"/>
  <c r="AB23" i="11"/>
  <c r="AC33" i="11"/>
  <c r="F33" i="11"/>
  <c r="T6" i="11"/>
  <c r="AD13" i="11"/>
  <c r="X8" i="11"/>
  <c r="AH13" i="11"/>
  <c r="K33" i="11"/>
  <c r="AE6" i="11"/>
  <c r="AC12" i="11"/>
  <c r="AG25" i="11"/>
  <c r="Y10" i="11"/>
  <c r="AG29" i="11"/>
  <c r="V33" i="11"/>
  <c r="AC35" i="11"/>
  <c r="H15" i="11"/>
  <c r="X19" i="11"/>
  <c r="K6" i="11"/>
  <c r="S23" i="11"/>
  <c r="X34" i="11"/>
  <c r="Q33" i="11"/>
  <c r="Z11" i="11"/>
  <c r="AD8" i="11"/>
  <c r="X4" i="11"/>
  <c r="E5" i="11"/>
  <c r="J36" i="11"/>
  <c r="F23" i="11"/>
  <c r="K14" i="11"/>
  <c r="I10" i="11"/>
  <c r="AJ6" i="11"/>
  <c r="J34" i="11"/>
  <c r="L18" i="11"/>
  <c r="T5" i="11"/>
  <c r="Z15" i="11"/>
  <c r="I18" i="11"/>
  <c r="H32" i="11"/>
  <c r="R24" i="11"/>
  <c r="AK10" i="11"/>
  <c r="AA12" i="11"/>
  <c r="K27" i="11"/>
  <c r="P17" i="11"/>
  <c r="I37" i="11"/>
  <c r="AC3" i="11"/>
  <c r="AD30" i="11"/>
  <c r="AJ18" i="11"/>
  <c r="AI10" i="11"/>
  <c r="F34" i="11"/>
  <c r="O35" i="11"/>
  <c r="K10" i="11"/>
  <c r="E16" i="11"/>
  <c r="F19" i="11"/>
  <c r="E6" i="11"/>
  <c r="AL5" i="11"/>
  <c r="R40" i="11"/>
  <c r="AF3" i="11"/>
  <c r="Z26" i="11"/>
  <c r="O14" i="11"/>
  <c r="AI39" i="11"/>
  <c r="Q23" i="11"/>
  <c r="F35" i="11"/>
  <c r="AG4" i="11"/>
  <c r="AC28" i="11"/>
  <c r="N5" i="11"/>
  <c r="T24" i="11"/>
  <c r="AL3" i="11"/>
  <c r="AA3" i="11"/>
  <c r="M6" i="11"/>
  <c r="L9" i="11"/>
  <c r="L34" i="11"/>
  <c r="T32" i="11"/>
  <c r="G5" i="11"/>
  <c r="N8" i="11"/>
  <c r="E37" i="11"/>
  <c r="T13" i="11"/>
  <c r="M20" i="11"/>
  <c r="O23" i="11"/>
  <c r="X26" i="11"/>
  <c r="AD19" i="11"/>
  <c r="AJ32" i="11"/>
  <c r="AA33" i="11"/>
  <c r="F36" i="11"/>
  <c r="T31" i="11"/>
  <c r="H20" i="11"/>
  <c r="AD26" i="11"/>
  <c r="G27" i="11"/>
  <c r="AC6" i="11"/>
  <c r="AC37" i="11"/>
  <c r="W27" i="11"/>
  <c r="H9" i="11"/>
  <c r="L26" i="11"/>
  <c r="J26" i="11"/>
  <c r="AF15" i="11"/>
  <c r="G10" i="11"/>
  <c r="V25" i="11"/>
  <c r="AJ8" i="11"/>
  <c r="W29" i="11"/>
  <c r="AA18" i="11"/>
  <c r="H25" i="11"/>
  <c r="J32" i="11"/>
  <c r="AI33" i="11"/>
  <c r="AD5" i="11"/>
  <c r="U33" i="11"/>
  <c r="AB34" i="11"/>
  <c r="AF36" i="11"/>
  <c r="W16" i="11"/>
  <c r="Q10" i="11"/>
  <c r="Y18" i="11"/>
  <c r="E12" i="11"/>
  <c r="W37" i="11"/>
  <c r="T15" i="11"/>
  <c r="AC38" i="11"/>
  <c r="AL32" i="11"/>
  <c r="U12" i="11"/>
  <c r="E27" i="11"/>
  <c r="AI28" i="11"/>
  <c r="L19" i="11"/>
  <c r="AD34" i="11"/>
  <c r="AB7" i="11"/>
  <c r="M29" i="11"/>
  <c r="R3" i="11"/>
  <c r="L13" i="11"/>
  <c r="AH37" i="11"/>
  <c r="G14" i="11"/>
  <c r="N9" i="11"/>
  <c r="AE28" i="11"/>
  <c r="M39" i="11"/>
  <c r="Q4" i="11"/>
  <c r="AI34" i="11"/>
  <c r="U28" i="11"/>
  <c r="AH19" i="11"/>
  <c r="AK19" i="11"/>
  <c r="AG7" i="11"/>
  <c r="W5" i="11"/>
  <c r="AA16" i="11"/>
  <c r="S33" i="11"/>
  <c r="Y5" i="11"/>
  <c r="T27" i="11"/>
  <c r="R5" i="11"/>
  <c r="M28" i="11"/>
  <c r="AI16" i="11"/>
  <c r="V34" i="11"/>
  <c r="J15" i="11"/>
  <c r="AA29" i="11"/>
  <c r="G37" i="11"/>
  <c r="H38" i="11"/>
  <c r="O16" i="11"/>
  <c r="P26" i="11"/>
  <c r="AK33" i="11"/>
  <c r="Y12" i="11"/>
  <c r="AL40" i="11"/>
  <c r="E3" i="11"/>
  <c r="E40" i="11"/>
  <c r="K3" i="11"/>
  <c r="AA5" i="11"/>
  <c r="Y37" i="11"/>
  <c r="AG37" i="11"/>
  <c r="AD23" i="11"/>
  <c r="AB8" i="11"/>
  <c r="U9" i="11"/>
  <c r="W6" i="11"/>
  <c r="H7" i="11"/>
  <c r="S34" i="11"/>
  <c r="AC16" i="11"/>
  <c r="Z7" i="11"/>
  <c r="Q28" i="11"/>
  <c r="AB18" i="11"/>
  <c r="Z20" i="11"/>
  <c r="L40" i="11"/>
  <c r="AF34" i="11"/>
  <c r="G28" i="11"/>
  <c r="N18" i="11"/>
  <c r="AG35" i="11"/>
  <c r="N24" i="11"/>
  <c r="AF9" i="11"/>
  <c r="Z13" i="11"/>
  <c r="K39" i="11"/>
  <c r="Z8" i="11"/>
  <c r="Q12" i="11"/>
  <c r="K12" i="11"/>
  <c r="H23" i="11"/>
  <c r="M33" i="11"/>
  <c r="AG14" i="11"/>
  <c r="P32" i="11"/>
  <c r="J9" i="11"/>
  <c r="N32" i="11"/>
  <c r="AG6" i="11"/>
  <c r="L24" i="11"/>
  <c r="AC39" i="11"/>
  <c r="R18" i="11"/>
  <c r="W14" i="11"/>
  <c r="AH36" i="11"/>
  <c r="I4" i="11"/>
  <c r="J13" i="11"/>
  <c r="J30" i="11"/>
  <c r="O6" i="11"/>
  <c r="U11" i="11"/>
  <c r="O12" i="11"/>
  <c r="E28" i="11"/>
  <c r="F38" i="11"/>
  <c r="M25" i="11"/>
  <c r="P18" i="11"/>
  <c r="Z17" i="11"/>
  <c r="H13" i="11"/>
  <c r="O38" i="11"/>
  <c r="S12" i="11"/>
  <c r="T40" i="11"/>
  <c r="AH24" i="11"/>
  <c r="P31" i="11"/>
  <c r="W15" i="11"/>
  <c r="Q39" i="11"/>
  <c r="AJ15" i="11"/>
  <c r="AC20" i="11"/>
  <c r="Z19" i="11"/>
  <c r="AD40" i="11"/>
  <c r="AL8" i="11"/>
  <c r="AC11" i="11"/>
  <c r="P27" i="11"/>
  <c r="AA40" i="11"/>
  <c r="U17" i="11"/>
  <c r="N34" i="11"/>
  <c r="U35" i="11"/>
  <c r="AD7" i="11"/>
  <c r="G39" i="11"/>
  <c r="R15" i="11"/>
  <c r="AJ13" i="11"/>
  <c r="Y27" i="11"/>
  <c r="Y4" i="11"/>
  <c r="K28" i="11"/>
  <c r="J38" i="11"/>
  <c r="T14" i="11"/>
  <c r="K38" i="11"/>
  <c r="AK26" i="11"/>
  <c r="H17" i="11"/>
  <c r="AK35" i="11"/>
  <c r="AK9" i="11"/>
  <c r="P13" i="11"/>
  <c r="T37" i="11"/>
  <c r="Z32" i="11"/>
  <c r="AJ36" i="11"/>
  <c r="AI9" i="11"/>
  <c r="R37" i="11"/>
  <c r="V19" i="11"/>
  <c r="AG11" i="11"/>
  <c r="P40" i="11"/>
  <c r="T16" i="11"/>
  <c r="H30" i="11"/>
  <c r="AL31" i="11"/>
  <c r="AI25" i="11"/>
  <c r="AJ30" i="11"/>
  <c r="O4" i="11"/>
  <c r="AA31" i="11"/>
  <c r="S16" i="11"/>
  <c r="L8" i="11"/>
  <c r="AL27" i="11"/>
  <c r="AK34" i="11"/>
  <c r="AI11" i="11"/>
  <c r="AE11" i="11"/>
  <c r="U20" i="11"/>
  <c r="AF27" i="11"/>
  <c r="I28" i="11"/>
  <c r="AL39" i="11"/>
  <c r="AI17" i="11"/>
  <c r="AB17" i="11"/>
  <c r="O10" i="11"/>
  <c r="V8" i="11"/>
  <c r="AK7" i="11"/>
  <c r="Z445" i="1" l="1"/>
  <c r="AF445" i="1" s="1"/>
  <c r="Z32" i="1"/>
  <c r="Z25" i="1"/>
  <c r="Z31" i="1"/>
  <c r="Z42" i="1"/>
  <c r="Z30" i="1"/>
  <c r="Z41" i="1"/>
  <c r="Z29" i="1"/>
  <c r="Z34" i="1"/>
  <c r="Z28" i="1"/>
  <c r="Z27" i="1"/>
  <c r="Z38" i="1"/>
  <c r="Z37" i="1"/>
  <c r="Z36" i="1"/>
  <c r="Z33" i="1"/>
  <c r="Z40" i="1"/>
  <c r="Z39" i="1"/>
  <c r="Z26" i="1"/>
  <c r="Z35" i="1"/>
  <c r="Z46" i="1"/>
  <c r="Z585" i="1"/>
  <c r="Z465" i="1"/>
  <c r="Z645" i="1"/>
  <c r="Z525" i="1"/>
  <c r="Z405" i="1"/>
  <c r="Z665" i="1"/>
  <c r="Z605" i="1"/>
  <c r="Z545" i="1"/>
  <c r="Z485" i="1"/>
  <c r="Z425" i="1"/>
  <c r="Z365" i="1"/>
  <c r="Z305" i="1"/>
  <c r="Z245" i="1"/>
  <c r="Z185" i="1"/>
  <c r="V185" i="1" s="1"/>
  <c r="Z125" i="1"/>
  <c r="Z65" i="1"/>
  <c r="Z625" i="1"/>
  <c r="Z565" i="1"/>
  <c r="Z505" i="1"/>
  <c r="Z385" i="1"/>
  <c r="Z325" i="1"/>
  <c r="Z265" i="1"/>
  <c r="Z205" i="1"/>
  <c r="Z145" i="1"/>
  <c r="Z85" i="1"/>
  <c r="Z285" i="1"/>
  <c r="Z345" i="1"/>
  <c r="Z105" i="1"/>
  <c r="Z165" i="1"/>
  <c r="Z45" i="1"/>
  <c r="Z225" i="1"/>
  <c r="Z653" i="1"/>
  <c r="Z413" i="1"/>
  <c r="Z593" i="1"/>
  <c r="Z533" i="1"/>
  <c r="Z473" i="1"/>
  <c r="Z673" i="1"/>
  <c r="Z613" i="1"/>
  <c r="Z553" i="1"/>
  <c r="Z493" i="1"/>
  <c r="Z433" i="1"/>
  <c r="Z373" i="1"/>
  <c r="Z313" i="1"/>
  <c r="Z253" i="1"/>
  <c r="Z193" i="1"/>
  <c r="V193" i="1" s="1"/>
  <c r="Z133" i="1"/>
  <c r="Z633" i="1"/>
  <c r="Z573" i="1"/>
  <c r="Z513" i="1"/>
  <c r="Z453" i="1"/>
  <c r="Z393" i="1"/>
  <c r="Z333" i="1"/>
  <c r="Z273" i="1"/>
  <c r="Z213" i="1"/>
  <c r="Z153" i="1"/>
  <c r="Z93" i="1"/>
  <c r="V93" i="1" s="1"/>
  <c r="Z113" i="1"/>
  <c r="Z73" i="1"/>
  <c r="Z353" i="1"/>
  <c r="Z173" i="1"/>
  <c r="Z233" i="1"/>
  <c r="Z293" i="1"/>
  <c r="Z651" i="1"/>
  <c r="Z591" i="1"/>
  <c r="Z531" i="1"/>
  <c r="Z471" i="1"/>
  <c r="Z411" i="1"/>
  <c r="Z351" i="1"/>
  <c r="Z291" i="1"/>
  <c r="Z231" i="1"/>
  <c r="Z171" i="1"/>
  <c r="Z111" i="1"/>
  <c r="Z671" i="1"/>
  <c r="Z611" i="1"/>
  <c r="Z551" i="1"/>
  <c r="Z491" i="1"/>
  <c r="Z431" i="1"/>
  <c r="Z371" i="1"/>
  <c r="Z311" i="1"/>
  <c r="Z251" i="1"/>
  <c r="Z191" i="1"/>
  <c r="V191" i="1" s="1"/>
  <c r="Z131" i="1"/>
  <c r="Z571" i="1"/>
  <c r="Z151" i="1"/>
  <c r="Z631" i="1"/>
  <c r="Z211" i="1"/>
  <c r="Z271" i="1"/>
  <c r="Z331" i="1"/>
  <c r="Z451" i="1"/>
  <c r="Z511" i="1"/>
  <c r="Z391" i="1"/>
  <c r="Z91" i="1"/>
  <c r="V91" i="1" s="1"/>
  <c r="Z71" i="1"/>
  <c r="Z652" i="1"/>
  <c r="Z592" i="1"/>
  <c r="Z532" i="1"/>
  <c r="Z472" i="1"/>
  <c r="Z412" i="1"/>
  <c r="Z352" i="1"/>
  <c r="Z292" i="1"/>
  <c r="Z232" i="1"/>
  <c r="Z172" i="1"/>
  <c r="Z112" i="1"/>
  <c r="Z672" i="1"/>
  <c r="Z612" i="1"/>
  <c r="Z552" i="1"/>
  <c r="Z492" i="1"/>
  <c r="Z432" i="1"/>
  <c r="Z372" i="1"/>
  <c r="Z312" i="1"/>
  <c r="Z72" i="1"/>
  <c r="Z392" i="1"/>
  <c r="Z132" i="1"/>
  <c r="Z92" i="1"/>
  <c r="V92" i="1" s="1"/>
  <c r="Z212" i="1"/>
  <c r="Z272" i="1"/>
  <c r="Z572" i="1"/>
  <c r="Z192" i="1"/>
  <c r="V192" i="1" s="1"/>
  <c r="Z152" i="1"/>
  <c r="Z632" i="1"/>
  <c r="Z252" i="1"/>
  <c r="Z332" i="1"/>
  <c r="Z452" i="1"/>
  <c r="Z512" i="1"/>
  <c r="Z682" i="1"/>
  <c r="Z622" i="1"/>
  <c r="Z562" i="1"/>
  <c r="Z502" i="1"/>
  <c r="Z442" i="1"/>
  <c r="Z382" i="1"/>
  <c r="Z322" i="1"/>
  <c r="Z262" i="1"/>
  <c r="Z82" i="1"/>
  <c r="Z642" i="1"/>
  <c r="Z582" i="1"/>
  <c r="Z522" i="1"/>
  <c r="Z662" i="1"/>
  <c r="Z602" i="1"/>
  <c r="Z542" i="1"/>
  <c r="Z482" i="1"/>
  <c r="Z422" i="1"/>
  <c r="Z362" i="1"/>
  <c r="Z162" i="1"/>
  <c r="Z302" i="1"/>
  <c r="Z402" i="1"/>
  <c r="Z102" i="1"/>
  <c r="V102" i="1" s="1"/>
  <c r="Z142" i="1"/>
  <c r="Z122" i="1"/>
  <c r="Z222" i="1"/>
  <c r="Z202" i="1"/>
  <c r="V202" i="1" s="1"/>
  <c r="Z182" i="1"/>
  <c r="Z242" i="1"/>
  <c r="Z462" i="1"/>
  <c r="Z342" i="1"/>
  <c r="Z282" i="1"/>
  <c r="Z670" i="1"/>
  <c r="Z610" i="1"/>
  <c r="Z550" i="1"/>
  <c r="Z490" i="1"/>
  <c r="Z430" i="1"/>
  <c r="Z370" i="1"/>
  <c r="Z310" i="1"/>
  <c r="Z250" i="1"/>
  <c r="Z70" i="1"/>
  <c r="Z630" i="1"/>
  <c r="Z570" i="1"/>
  <c r="Z510" i="1"/>
  <c r="Z450" i="1"/>
  <c r="Z650" i="1"/>
  <c r="Z590" i="1"/>
  <c r="Z530" i="1"/>
  <c r="Z470" i="1"/>
  <c r="Z410" i="1"/>
  <c r="Z350" i="1"/>
  <c r="Z290" i="1"/>
  <c r="Z210" i="1"/>
  <c r="Z190" i="1"/>
  <c r="V190" i="1" s="1"/>
  <c r="Z170" i="1"/>
  <c r="Z230" i="1"/>
  <c r="Z270" i="1"/>
  <c r="Z330" i="1"/>
  <c r="Z390" i="1"/>
  <c r="Z90" i="1"/>
  <c r="V90" i="1" s="1"/>
  <c r="Z150" i="1"/>
  <c r="Z130" i="1"/>
  <c r="Z110" i="1"/>
  <c r="Z681" i="1"/>
  <c r="Z621" i="1"/>
  <c r="Z561" i="1"/>
  <c r="Z501" i="1"/>
  <c r="Z441" i="1"/>
  <c r="Z641" i="1"/>
  <c r="Z581" i="1"/>
  <c r="Z521" i="1"/>
  <c r="Z461" i="1"/>
  <c r="Z401" i="1"/>
  <c r="Z341" i="1"/>
  <c r="Z281" i="1"/>
  <c r="Z221" i="1"/>
  <c r="Z161" i="1"/>
  <c r="Z101" i="1"/>
  <c r="V101" i="1" s="1"/>
  <c r="Z661" i="1"/>
  <c r="Z601" i="1"/>
  <c r="Z541" i="1"/>
  <c r="Z481" i="1"/>
  <c r="Z421" i="1"/>
  <c r="Z361" i="1"/>
  <c r="Z301" i="1"/>
  <c r="Z241" i="1"/>
  <c r="Z181" i="1"/>
  <c r="Z121" i="1"/>
  <c r="Z81" i="1"/>
  <c r="Z321" i="1"/>
  <c r="Z141" i="1"/>
  <c r="Z201" i="1"/>
  <c r="V201" i="1" s="1"/>
  <c r="Z261" i="1"/>
  <c r="Z381" i="1"/>
  <c r="Z429" i="1"/>
  <c r="Z669" i="1"/>
  <c r="Z609" i="1"/>
  <c r="Z549" i="1"/>
  <c r="Z489" i="1"/>
  <c r="Z629" i="1"/>
  <c r="Z569" i="1"/>
  <c r="Z509" i="1"/>
  <c r="Z449" i="1"/>
  <c r="Z389" i="1"/>
  <c r="Z329" i="1"/>
  <c r="Z269" i="1"/>
  <c r="Z209" i="1"/>
  <c r="Z149" i="1"/>
  <c r="Z89" i="1"/>
  <c r="V89" i="1" s="1"/>
  <c r="Z649" i="1"/>
  <c r="Z589" i="1"/>
  <c r="Z529" i="1"/>
  <c r="Z469" i="1"/>
  <c r="Z409" i="1"/>
  <c r="Z349" i="1"/>
  <c r="Z289" i="1"/>
  <c r="Z229" i="1"/>
  <c r="Z169" i="1"/>
  <c r="Z109" i="1"/>
  <c r="Z309" i="1"/>
  <c r="Z249" i="1"/>
  <c r="Z369" i="1"/>
  <c r="Z129" i="1"/>
  <c r="Z69" i="1"/>
  <c r="Z189" i="1"/>
  <c r="V189" i="1" s="1"/>
  <c r="Z680" i="1"/>
  <c r="Z620" i="1"/>
  <c r="Z560" i="1"/>
  <c r="Z500" i="1"/>
  <c r="Z440" i="1"/>
  <c r="Z380" i="1"/>
  <c r="Z320" i="1"/>
  <c r="Z260" i="1"/>
  <c r="Z200" i="1"/>
  <c r="V200" i="1" s="1"/>
  <c r="Z140" i="1"/>
  <c r="Z640" i="1"/>
  <c r="Z580" i="1"/>
  <c r="Z520" i="1"/>
  <c r="Z460" i="1"/>
  <c r="Z400" i="1"/>
  <c r="Z340" i="1"/>
  <c r="Z300" i="1"/>
  <c r="Z80" i="1"/>
  <c r="Z160" i="1"/>
  <c r="Z220" i="1"/>
  <c r="Z660" i="1"/>
  <c r="Z360" i="1"/>
  <c r="Z100" i="1"/>
  <c r="V100" i="1" s="1"/>
  <c r="Z120" i="1"/>
  <c r="Z180" i="1"/>
  <c r="Z480" i="1"/>
  <c r="Z240" i="1"/>
  <c r="Z540" i="1"/>
  <c r="Z420" i="1"/>
  <c r="Z280" i="1"/>
  <c r="Z600" i="1"/>
  <c r="Z668" i="1"/>
  <c r="Z608" i="1"/>
  <c r="Z548" i="1"/>
  <c r="Z488" i="1"/>
  <c r="Z428" i="1"/>
  <c r="Z368" i="1"/>
  <c r="Z308" i="1"/>
  <c r="Z248" i="1"/>
  <c r="Z188" i="1"/>
  <c r="V188" i="1" s="1"/>
  <c r="Z128" i="1"/>
  <c r="Z628" i="1"/>
  <c r="Z568" i="1"/>
  <c r="Z508" i="1"/>
  <c r="Z448" i="1"/>
  <c r="Z388" i="1"/>
  <c r="Z328" i="1"/>
  <c r="Z348" i="1"/>
  <c r="Z228" i="1"/>
  <c r="Z268" i="1"/>
  <c r="Z468" i="1"/>
  <c r="Z408" i="1"/>
  <c r="Z528" i="1"/>
  <c r="Z288" i="1"/>
  <c r="Z588" i="1"/>
  <c r="Z88" i="1"/>
  <c r="V88" i="1" s="1"/>
  <c r="Z68" i="1"/>
  <c r="Z148" i="1"/>
  <c r="Z108" i="1"/>
  <c r="Z648" i="1"/>
  <c r="Z208" i="1"/>
  <c r="Z168" i="1"/>
  <c r="Z679" i="1"/>
  <c r="Z619" i="1"/>
  <c r="Z559" i="1"/>
  <c r="Z499" i="1"/>
  <c r="Z439" i="1"/>
  <c r="Z379" i="1"/>
  <c r="Z319" i="1"/>
  <c r="Z259" i="1"/>
  <c r="Z199" i="1"/>
  <c r="V199" i="1" s="1"/>
  <c r="Z139" i="1"/>
  <c r="Z79" i="1"/>
  <c r="Z639" i="1"/>
  <c r="Z579" i="1"/>
  <c r="Z519" i="1"/>
  <c r="Z459" i="1"/>
  <c r="Z399" i="1"/>
  <c r="Z339" i="1"/>
  <c r="Z279" i="1"/>
  <c r="Z219" i="1"/>
  <c r="Z159" i="1"/>
  <c r="Z99" i="1"/>
  <c r="V99" i="1" s="1"/>
  <c r="Z659" i="1"/>
  <c r="Z359" i="1"/>
  <c r="Z119" i="1"/>
  <c r="Z179" i="1"/>
  <c r="Z479" i="1"/>
  <c r="Z239" i="1"/>
  <c r="Z539" i="1"/>
  <c r="Z419" i="1"/>
  <c r="Z599" i="1"/>
  <c r="Z299" i="1"/>
  <c r="Z667" i="1"/>
  <c r="Z607" i="1"/>
  <c r="Z547" i="1"/>
  <c r="Z487" i="1"/>
  <c r="Z427" i="1"/>
  <c r="Z367" i="1"/>
  <c r="Z307" i="1"/>
  <c r="Z247" i="1"/>
  <c r="Z187" i="1"/>
  <c r="V187" i="1" s="1"/>
  <c r="Z127" i="1"/>
  <c r="Z67" i="1"/>
  <c r="Z627" i="1"/>
  <c r="Z567" i="1"/>
  <c r="Z507" i="1"/>
  <c r="Z447" i="1"/>
  <c r="Z387" i="1"/>
  <c r="Z327" i="1"/>
  <c r="Z267" i="1"/>
  <c r="Z207" i="1"/>
  <c r="Z147" i="1"/>
  <c r="Z87" i="1"/>
  <c r="V87" i="1" s="1"/>
  <c r="Z527" i="1"/>
  <c r="Z467" i="1"/>
  <c r="Z407" i="1"/>
  <c r="Z287" i="1"/>
  <c r="Z587" i="1"/>
  <c r="Z107" i="1"/>
  <c r="Z647" i="1"/>
  <c r="Z167" i="1"/>
  <c r="Z347" i="1"/>
  <c r="Z227" i="1"/>
  <c r="Z637" i="1"/>
  <c r="Z517" i="1"/>
  <c r="Z577" i="1"/>
  <c r="Z457" i="1"/>
  <c r="Z657" i="1"/>
  <c r="Z597" i="1"/>
  <c r="Z537" i="1"/>
  <c r="Z477" i="1"/>
  <c r="Z417" i="1"/>
  <c r="Z357" i="1"/>
  <c r="Z297" i="1"/>
  <c r="Z237" i="1"/>
  <c r="Z177" i="1"/>
  <c r="Z117" i="1"/>
  <c r="Z677" i="1"/>
  <c r="Z617" i="1"/>
  <c r="Z557" i="1"/>
  <c r="Z497" i="1"/>
  <c r="Z437" i="1"/>
  <c r="Z377" i="1"/>
  <c r="Z317" i="1"/>
  <c r="Z257" i="1"/>
  <c r="Z197" i="1"/>
  <c r="V197" i="1" s="1"/>
  <c r="Z137" i="1"/>
  <c r="Z397" i="1"/>
  <c r="Z97" i="1"/>
  <c r="V97" i="1" s="1"/>
  <c r="Z157" i="1"/>
  <c r="Z77" i="1"/>
  <c r="Z217" i="1"/>
  <c r="Z277" i="1"/>
  <c r="Z337" i="1"/>
  <c r="Z636" i="1"/>
  <c r="Z576" i="1"/>
  <c r="Z516" i="1"/>
  <c r="Z456" i="1"/>
  <c r="Z396" i="1"/>
  <c r="Z336" i="1"/>
  <c r="Z276" i="1"/>
  <c r="Z216" i="1"/>
  <c r="Z156" i="1"/>
  <c r="Z96" i="1"/>
  <c r="V96" i="1" s="1"/>
  <c r="Z656" i="1"/>
  <c r="Z596" i="1"/>
  <c r="Z536" i="1"/>
  <c r="Z476" i="1"/>
  <c r="Z416" i="1"/>
  <c r="Z356" i="1"/>
  <c r="Z296" i="1"/>
  <c r="Z76" i="1"/>
  <c r="Z116" i="1"/>
  <c r="Z136" i="1"/>
  <c r="Z236" i="1"/>
  <c r="Z556" i="1"/>
  <c r="Z496" i="1"/>
  <c r="Z436" i="1"/>
  <c r="Z176" i="1"/>
  <c r="Z316" i="1"/>
  <c r="Z196" i="1"/>
  <c r="V196" i="1" s="1"/>
  <c r="Z256" i="1"/>
  <c r="Z616" i="1"/>
  <c r="Z376" i="1"/>
  <c r="Z676" i="1"/>
  <c r="Z78" i="1"/>
  <c r="Z638" i="1"/>
  <c r="Z578" i="1"/>
  <c r="Z518" i="1"/>
  <c r="Z458" i="1"/>
  <c r="Z398" i="1"/>
  <c r="Z338" i="1"/>
  <c r="Z278" i="1"/>
  <c r="Z658" i="1"/>
  <c r="Z598" i="1"/>
  <c r="Z538" i="1"/>
  <c r="Z478" i="1"/>
  <c r="Z678" i="1"/>
  <c r="Z618" i="1"/>
  <c r="Z558" i="1"/>
  <c r="Z498" i="1"/>
  <c r="Z438" i="1"/>
  <c r="Z378" i="1"/>
  <c r="Z318" i="1"/>
  <c r="Z158" i="1"/>
  <c r="Z238" i="1"/>
  <c r="Z358" i="1"/>
  <c r="Z118" i="1"/>
  <c r="Z98" i="1"/>
  <c r="V98" i="1" s="1"/>
  <c r="Z178" i="1"/>
  <c r="Z138" i="1"/>
  <c r="Z218" i="1"/>
  <c r="Z198" i="1"/>
  <c r="V198" i="1" s="1"/>
  <c r="Z418" i="1"/>
  <c r="Z258" i="1"/>
  <c r="Z298" i="1"/>
  <c r="Z635" i="1"/>
  <c r="Z575" i="1"/>
  <c r="Z515" i="1"/>
  <c r="Z455" i="1"/>
  <c r="Z395" i="1"/>
  <c r="Z335" i="1"/>
  <c r="Z275" i="1"/>
  <c r="Z215" i="1"/>
  <c r="Z155" i="1"/>
  <c r="Z95" i="1"/>
  <c r="V95" i="1" s="1"/>
  <c r="Z655" i="1"/>
  <c r="Z595" i="1"/>
  <c r="Z535" i="1"/>
  <c r="Z475" i="1"/>
  <c r="Z415" i="1"/>
  <c r="Z355" i="1"/>
  <c r="Z295" i="1"/>
  <c r="Z235" i="1"/>
  <c r="Z175" i="1"/>
  <c r="Z115" i="1"/>
  <c r="Z555" i="1"/>
  <c r="Z495" i="1"/>
  <c r="Z435" i="1"/>
  <c r="Z135" i="1"/>
  <c r="Z75" i="1"/>
  <c r="Z315" i="1"/>
  <c r="Z195" i="1"/>
  <c r="V195" i="1" s="1"/>
  <c r="Z255" i="1"/>
  <c r="Z615" i="1"/>
  <c r="Z375" i="1"/>
  <c r="Z675" i="1"/>
  <c r="Z66" i="1"/>
  <c r="Z626" i="1"/>
  <c r="Z566" i="1"/>
  <c r="Z506" i="1"/>
  <c r="Z446" i="1"/>
  <c r="Z386" i="1"/>
  <c r="Z326" i="1"/>
  <c r="Z266" i="1"/>
  <c r="Z646" i="1"/>
  <c r="Z586" i="1"/>
  <c r="Z526" i="1"/>
  <c r="Z466" i="1"/>
  <c r="Z666" i="1"/>
  <c r="Z606" i="1"/>
  <c r="Z546" i="1"/>
  <c r="Z486" i="1"/>
  <c r="Z426" i="1"/>
  <c r="Z366" i="1"/>
  <c r="Z306" i="1"/>
  <c r="Z246" i="1"/>
  <c r="Z406" i="1"/>
  <c r="Z286" i="1"/>
  <c r="Z106" i="1"/>
  <c r="Z86" i="1"/>
  <c r="V86" i="1" s="1"/>
  <c r="Z166" i="1"/>
  <c r="Z146" i="1"/>
  <c r="Z126" i="1"/>
  <c r="Z346" i="1"/>
  <c r="Z226" i="1"/>
  <c r="Z206" i="1"/>
  <c r="Z186" i="1"/>
  <c r="V186" i="1" s="1"/>
  <c r="Z654" i="1"/>
  <c r="Z594" i="1"/>
  <c r="Z534" i="1"/>
  <c r="Z474" i="1"/>
  <c r="Z414" i="1"/>
  <c r="Z354" i="1"/>
  <c r="Z294" i="1"/>
  <c r="Z674" i="1"/>
  <c r="Z614" i="1"/>
  <c r="Z554" i="1"/>
  <c r="Z494" i="1"/>
  <c r="Z634" i="1"/>
  <c r="Z574" i="1"/>
  <c r="Z514" i="1"/>
  <c r="Z454" i="1"/>
  <c r="Z394" i="1"/>
  <c r="Z334" i="1"/>
  <c r="Z134" i="1"/>
  <c r="Z94" i="1"/>
  <c r="V94" i="1" s="1"/>
  <c r="Z74" i="1"/>
  <c r="Z214" i="1"/>
  <c r="Z434" i="1"/>
  <c r="Z114" i="1"/>
  <c r="Z314" i="1"/>
  <c r="Z194" i="1"/>
  <c r="V194" i="1" s="1"/>
  <c r="Z174" i="1"/>
  <c r="Z154" i="1"/>
  <c r="Z234" i="1"/>
  <c r="Z254" i="1"/>
  <c r="Z374" i="1"/>
  <c r="Z274" i="1"/>
  <c r="Z52" i="1"/>
  <c r="Z49" i="1"/>
  <c r="Z53" i="1"/>
  <c r="Z62" i="1"/>
  <c r="Z60" i="1"/>
  <c r="Z48" i="1"/>
  <c r="Z50" i="1"/>
  <c r="Z47" i="1"/>
  <c r="Z58" i="1"/>
  <c r="Z51" i="1"/>
  <c r="Z57" i="1"/>
  <c r="Z56" i="1"/>
  <c r="Z59" i="1"/>
  <c r="Z55" i="1"/>
  <c r="Z61" i="1"/>
  <c r="Z54" i="1"/>
  <c r="K29" i="6"/>
  <c r="K20" i="6"/>
  <c r="AE445" i="1" l="1"/>
  <c r="AF665" i="1"/>
  <c r="AE665" i="1"/>
  <c r="AA445" i="1"/>
  <c r="V162" i="1"/>
  <c r="AF162" i="1"/>
  <c r="AE162" i="1"/>
  <c r="AA449" i="1"/>
  <c r="AF449" i="1"/>
  <c r="AE449" i="1"/>
  <c r="AE425" i="1"/>
  <c r="AF425" i="1"/>
  <c r="AE435" i="1"/>
  <c r="AF435" i="1"/>
  <c r="V176" i="1"/>
  <c r="AE176" i="1"/>
  <c r="AF176" i="1"/>
  <c r="V107" i="1"/>
  <c r="AF107" i="1"/>
  <c r="AE107" i="1"/>
  <c r="AA447" i="1"/>
  <c r="AF447" i="1"/>
  <c r="AE447" i="1"/>
  <c r="V139" i="1"/>
  <c r="AA139" i="1"/>
  <c r="AF139" i="1"/>
  <c r="AE139" i="1"/>
  <c r="AF428" i="1"/>
  <c r="AE428" i="1"/>
  <c r="V120" i="1"/>
  <c r="AF120" i="1"/>
  <c r="AE120" i="1"/>
  <c r="V161" i="1"/>
  <c r="AF161" i="1"/>
  <c r="AE161" i="1"/>
  <c r="V180" i="1"/>
  <c r="AF180" i="1"/>
  <c r="AE180" i="1"/>
  <c r="V126" i="1"/>
  <c r="AF126" i="1"/>
  <c r="AA126" i="1"/>
  <c r="AE126" i="1"/>
  <c r="AF438" i="1"/>
  <c r="AE438" i="1"/>
  <c r="AA458" i="1"/>
  <c r="AF458" i="1"/>
  <c r="AE458" i="1"/>
  <c r="AE436" i="1"/>
  <c r="AF436" i="1"/>
  <c r="AE437" i="1"/>
  <c r="AF437" i="1"/>
  <c r="V108" i="1"/>
  <c r="AF108" i="1"/>
  <c r="AE108" i="1"/>
  <c r="V121" i="1"/>
  <c r="AF121" i="1"/>
  <c r="AE121" i="1"/>
  <c r="V182" i="1"/>
  <c r="AF182" i="1"/>
  <c r="AE182" i="1"/>
  <c r="V112" i="1"/>
  <c r="AE112" i="1"/>
  <c r="AF112" i="1"/>
  <c r="V153" i="1"/>
  <c r="AF153" i="1"/>
  <c r="AE153" i="1"/>
  <c r="AA456" i="1"/>
  <c r="AE456" i="1"/>
  <c r="AF456" i="1"/>
  <c r="AF441" i="1"/>
  <c r="AE441" i="1"/>
  <c r="V171" i="1"/>
  <c r="AF171" i="1"/>
  <c r="AE171" i="1"/>
  <c r="V168" i="1"/>
  <c r="AF168" i="1"/>
  <c r="AE168" i="1"/>
  <c r="V141" i="1"/>
  <c r="AA141" i="1"/>
  <c r="AF141" i="1"/>
  <c r="AE141" i="1"/>
  <c r="V146" i="1"/>
  <c r="AF146" i="1"/>
  <c r="AE146" i="1"/>
  <c r="AA146" i="1"/>
  <c r="V155" i="1"/>
  <c r="AE155" i="1"/>
  <c r="AF155" i="1"/>
  <c r="V159" i="1"/>
  <c r="AE159" i="1"/>
  <c r="AF159" i="1"/>
  <c r="V148" i="1"/>
  <c r="AE148" i="1"/>
  <c r="AF148" i="1"/>
  <c r="V140" i="1"/>
  <c r="AF140" i="1"/>
  <c r="AA140" i="1"/>
  <c r="AE140" i="1"/>
  <c r="V129" i="1"/>
  <c r="AF129" i="1"/>
  <c r="AA129" i="1"/>
  <c r="AE129" i="1"/>
  <c r="V181" i="1"/>
  <c r="AF181" i="1"/>
  <c r="AE181" i="1"/>
  <c r="V110" i="1"/>
  <c r="AE110" i="1"/>
  <c r="AF110" i="1"/>
  <c r="V172" i="1"/>
  <c r="AE172" i="1"/>
  <c r="AF172" i="1"/>
  <c r="V114" i="1"/>
  <c r="AE114" i="1"/>
  <c r="AF114" i="1"/>
  <c r="V158" i="1"/>
  <c r="AF158" i="1"/>
  <c r="AE158" i="1"/>
  <c r="AF427" i="1"/>
  <c r="AE427" i="1"/>
  <c r="AE434" i="1"/>
  <c r="AF434" i="1"/>
  <c r="AF442" i="1"/>
  <c r="AE442" i="1"/>
  <c r="V134" i="1"/>
  <c r="AE134" i="1"/>
  <c r="AA134" i="1"/>
  <c r="AF134" i="1"/>
  <c r="V166" i="1"/>
  <c r="AF166" i="1"/>
  <c r="AE166" i="1"/>
  <c r="V115" i="1"/>
  <c r="AE115" i="1"/>
  <c r="AF115" i="1"/>
  <c r="AA448" i="1"/>
  <c r="AF448" i="1"/>
  <c r="AE448" i="1"/>
  <c r="V130" i="1"/>
  <c r="AE130" i="1"/>
  <c r="AF130" i="1"/>
  <c r="AA130" i="1"/>
  <c r="V132" i="1"/>
  <c r="AE132" i="1"/>
  <c r="AF132" i="1"/>
  <c r="AA132" i="1"/>
  <c r="AA451" i="1"/>
  <c r="AF451" i="1"/>
  <c r="AE451" i="1"/>
  <c r="AE431" i="1"/>
  <c r="AF431" i="1"/>
  <c r="AE433" i="1"/>
  <c r="AF433" i="1"/>
  <c r="V165" i="1"/>
  <c r="AF165" i="1"/>
  <c r="AE165" i="1"/>
  <c r="V119" i="1"/>
  <c r="AF119" i="1"/>
  <c r="AE119" i="1"/>
  <c r="V135" i="1"/>
  <c r="AE135" i="1"/>
  <c r="AF135" i="1"/>
  <c r="AA135" i="1"/>
  <c r="V175" i="1"/>
  <c r="AE175" i="1"/>
  <c r="AF175" i="1"/>
  <c r="V138" i="1"/>
  <c r="AA138" i="1"/>
  <c r="AF138" i="1"/>
  <c r="AE138" i="1"/>
  <c r="V156" i="1"/>
  <c r="AE156" i="1"/>
  <c r="AF156" i="1"/>
  <c r="AA457" i="1"/>
  <c r="AF457" i="1"/>
  <c r="AE457" i="1"/>
  <c r="V150" i="1"/>
  <c r="AF150" i="1"/>
  <c r="AE150" i="1"/>
  <c r="AF430" i="1"/>
  <c r="AE430" i="1"/>
  <c r="V122" i="1"/>
  <c r="AE122" i="1"/>
  <c r="AF122" i="1"/>
  <c r="V105" i="1"/>
  <c r="AF105" i="1"/>
  <c r="AA105" i="1"/>
  <c r="AE105" i="1"/>
  <c r="V179" i="1"/>
  <c r="AF179" i="1"/>
  <c r="AE179" i="1"/>
  <c r="V167" i="1"/>
  <c r="AF167" i="1"/>
  <c r="AE167" i="1"/>
  <c r="V170" i="1"/>
  <c r="AF170" i="1"/>
  <c r="AE170" i="1"/>
  <c r="V131" i="1"/>
  <c r="AF131" i="1"/>
  <c r="AE131" i="1"/>
  <c r="AA131" i="1"/>
  <c r="V133" i="1"/>
  <c r="AE133" i="1"/>
  <c r="AF133" i="1"/>
  <c r="AA133" i="1"/>
  <c r="V106" i="1"/>
  <c r="AF106" i="1"/>
  <c r="AE106" i="1"/>
  <c r="V178" i="1"/>
  <c r="AF178" i="1"/>
  <c r="AE178" i="1"/>
  <c r="V136" i="1"/>
  <c r="AE136" i="1"/>
  <c r="AF136" i="1"/>
  <c r="AA136" i="1"/>
  <c r="V157" i="1"/>
  <c r="AE157" i="1"/>
  <c r="AF157" i="1"/>
  <c r="V127" i="1"/>
  <c r="AF127" i="1"/>
  <c r="AA127" i="1"/>
  <c r="AE127" i="1"/>
  <c r="AF439" i="1"/>
  <c r="AE439" i="1"/>
  <c r="V160" i="1"/>
  <c r="AF160" i="1"/>
  <c r="AE160" i="1"/>
  <c r="V149" i="1"/>
  <c r="AF149" i="1"/>
  <c r="AE149" i="1"/>
  <c r="AA461" i="1"/>
  <c r="AF461" i="1"/>
  <c r="AE461" i="1"/>
  <c r="V142" i="1"/>
  <c r="AF142" i="1"/>
  <c r="AE142" i="1"/>
  <c r="AA142" i="1"/>
  <c r="AA452" i="1"/>
  <c r="AE452" i="1"/>
  <c r="AF452" i="1"/>
  <c r="V125" i="1"/>
  <c r="AF125" i="1"/>
  <c r="AA125" i="1"/>
  <c r="AE125" i="1"/>
  <c r="V154" i="1"/>
  <c r="AE154" i="1"/>
  <c r="AF154" i="1"/>
  <c r="AA454" i="1"/>
  <c r="AE454" i="1"/>
  <c r="AF454" i="1"/>
  <c r="V116" i="1"/>
  <c r="AF116" i="1"/>
  <c r="AE116" i="1"/>
  <c r="V117" i="1"/>
  <c r="AF117" i="1"/>
  <c r="AE117" i="1"/>
  <c r="V109" i="1"/>
  <c r="AF109" i="1"/>
  <c r="AE109" i="1"/>
  <c r="AF429" i="1"/>
  <c r="AE429" i="1"/>
  <c r="AA453" i="1"/>
  <c r="AE453" i="1"/>
  <c r="AF453" i="1"/>
  <c r="AA460" i="1"/>
  <c r="AF460" i="1"/>
  <c r="AE460" i="1"/>
  <c r="AF426" i="1"/>
  <c r="AE426" i="1"/>
  <c r="AA462" i="1"/>
  <c r="AF462" i="1"/>
  <c r="AE462" i="1"/>
  <c r="V113" i="1"/>
  <c r="AE113" i="1"/>
  <c r="AF113" i="1"/>
  <c r="V174" i="1"/>
  <c r="AE174" i="1"/>
  <c r="AF174" i="1"/>
  <c r="AA455" i="1"/>
  <c r="AE455" i="1"/>
  <c r="AF455" i="1"/>
  <c r="V118" i="1"/>
  <c r="AF118" i="1"/>
  <c r="AE118" i="1"/>
  <c r="V177" i="1"/>
  <c r="AF177" i="1"/>
  <c r="AE177" i="1"/>
  <c r="V147" i="1"/>
  <c r="AF147" i="1"/>
  <c r="AE147" i="1"/>
  <c r="AA459" i="1"/>
  <c r="AF459" i="1"/>
  <c r="AE459" i="1"/>
  <c r="V128" i="1"/>
  <c r="AF128" i="1"/>
  <c r="AA128" i="1"/>
  <c r="AE128" i="1"/>
  <c r="AF440" i="1"/>
  <c r="AE440" i="1"/>
  <c r="V169" i="1"/>
  <c r="AF169" i="1"/>
  <c r="AE169" i="1"/>
  <c r="V152" i="1"/>
  <c r="AF152" i="1"/>
  <c r="AE152" i="1"/>
  <c r="AA446" i="1"/>
  <c r="AF446" i="1"/>
  <c r="AE446" i="1"/>
  <c r="V137" i="1"/>
  <c r="AF137" i="1"/>
  <c r="AA137" i="1"/>
  <c r="AE137" i="1"/>
  <c r="AA450" i="1"/>
  <c r="AF450" i="1"/>
  <c r="AE450" i="1"/>
  <c r="AE432" i="1"/>
  <c r="AF432" i="1"/>
  <c r="V151" i="1"/>
  <c r="AF151" i="1"/>
  <c r="AE151" i="1"/>
  <c r="V111" i="1"/>
  <c r="AE111" i="1"/>
  <c r="AF111" i="1"/>
  <c r="V173" i="1"/>
  <c r="AE173" i="1"/>
  <c r="AF173" i="1"/>
  <c r="V145" i="1"/>
  <c r="AE145" i="1"/>
  <c r="AF145" i="1"/>
  <c r="V35" i="1"/>
  <c r="AE35" i="1"/>
  <c r="AF35" i="1"/>
  <c r="AA35" i="1"/>
  <c r="V37" i="1"/>
  <c r="AA37" i="1"/>
  <c r="AE37" i="1"/>
  <c r="AF37" i="1"/>
  <c r="V41" i="1"/>
  <c r="AF41" i="1"/>
  <c r="AA41" i="1"/>
  <c r="AE41" i="1"/>
  <c r="V26" i="1"/>
  <c r="AE26" i="1"/>
  <c r="AA26" i="1"/>
  <c r="AF26" i="1"/>
  <c r="V38" i="1"/>
  <c r="AA38" i="1"/>
  <c r="AE38" i="1"/>
  <c r="AF38" i="1"/>
  <c r="V30" i="1"/>
  <c r="AA30" i="1"/>
  <c r="AE30" i="1"/>
  <c r="AF30" i="1"/>
  <c r="V39" i="1"/>
  <c r="AA39" i="1"/>
  <c r="AE39" i="1"/>
  <c r="AF39" i="1"/>
  <c r="V27" i="1"/>
  <c r="AA27" i="1"/>
  <c r="AE27" i="1"/>
  <c r="AF27" i="1"/>
  <c r="V42" i="1"/>
  <c r="AE42" i="1"/>
  <c r="AA42" i="1"/>
  <c r="AF42" i="1"/>
  <c r="V40" i="1"/>
  <c r="AF40" i="1"/>
  <c r="AA40" i="1"/>
  <c r="AE40" i="1"/>
  <c r="V28" i="1"/>
  <c r="AE28" i="1"/>
  <c r="AA28" i="1"/>
  <c r="AF28" i="1"/>
  <c r="V31" i="1"/>
  <c r="AA31" i="1"/>
  <c r="AE31" i="1"/>
  <c r="AF31" i="1"/>
  <c r="V33" i="1"/>
  <c r="AA33" i="1"/>
  <c r="AE33" i="1"/>
  <c r="AF33" i="1"/>
  <c r="V34" i="1"/>
  <c r="AF34" i="1"/>
  <c r="AA34" i="1"/>
  <c r="AE34" i="1"/>
  <c r="V25" i="1"/>
  <c r="AE25" i="1"/>
  <c r="AF25" i="1"/>
  <c r="AA25" i="1"/>
  <c r="V36" i="1"/>
  <c r="AE36" i="1"/>
  <c r="AA36" i="1"/>
  <c r="AF36" i="1"/>
  <c r="V29" i="1"/>
  <c r="AF29" i="1"/>
  <c r="AA29" i="1"/>
  <c r="AE29" i="1"/>
  <c r="V32" i="1"/>
  <c r="AA32" i="1"/>
  <c r="AE32" i="1"/>
  <c r="AF32" i="1"/>
  <c r="AF190" i="1"/>
  <c r="AE190" i="1"/>
  <c r="V74" i="1"/>
  <c r="V50" i="1"/>
  <c r="V52" i="1"/>
  <c r="V679" i="1"/>
  <c r="V82" i="1"/>
  <c r="V671" i="1"/>
  <c r="V673" i="1"/>
  <c r="V710" i="1"/>
  <c r="V712" i="1"/>
  <c r="V715" i="1"/>
  <c r="V719" i="1"/>
  <c r="V48" i="1"/>
  <c r="V54" i="1"/>
  <c r="V81" i="1"/>
  <c r="V73" i="1"/>
  <c r="V704" i="1"/>
  <c r="V716" i="1"/>
  <c r="V71" i="1"/>
  <c r="V705" i="1"/>
  <c r="V709" i="1"/>
  <c r="V670" i="1"/>
  <c r="V79" i="1"/>
  <c r="V667" i="1"/>
  <c r="V70" i="1"/>
  <c r="V672" i="1"/>
  <c r="V75" i="1"/>
  <c r="V720" i="1"/>
  <c r="V674" i="1"/>
  <c r="V725" i="1"/>
  <c r="V681" i="1"/>
  <c r="V62" i="1"/>
  <c r="V61" i="1"/>
  <c r="V666" i="1"/>
  <c r="V66" i="1"/>
  <c r="V68" i="1"/>
  <c r="V711" i="1"/>
  <c r="V706" i="1"/>
  <c r="V714" i="1"/>
  <c r="V60" i="1"/>
  <c r="V69" i="1"/>
  <c r="V53" i="1"/>
  <c r="V675" i="1"/>
  <c r="V77" i="1"/>
  <c r="V67" i="1"/>
  <c r="V668" i="1"/>
  <c r="V45" i="1"/>
  <c r="V717" i="1"/>
  <c r="V721" i="1"/>
  <c r="V51" i="1"/>
  <c r="V55" i="1"/>
  <c r="V58" i="1"/>
  <c r="V46" i="1"/>
  <c r="V678" i="1"/>
  <c r="V78" i="1"/>
  <c r="V677" i="1"/>
  <c r="V669" i="1"/>
  <c r="V682" i="1"/>
  <c r="AE682" i="1"/>
  <c r="AF682" i="1"/>
  <c r="AA682" i="1"/>
  <c r="V676" i="1"/>
  <c r="V80" i="1"/>
  <c r="V665" i="1"/>
  <c r="V707" i="1"/>
  <c r="V713" i="1"/>
  <c r="V718" i="1"/>
  <c r="V57" i="1"/>
  <c r="V49" i="1"/>
  <c r="V59" i="1"/>
  <c r="V47" i="1"/>
  <c r="V76" i="1"/>
  <c r="V72" i="1"/>
  <c r="V708" i="1"/>
  <c r="V680" i="1"/>
  <c r="V56" i="1"/>
  <c r="V65" i="1"/>
  <c r="AE675" i="1"/>
  <c r="AF675" i="1"/>
  <c r="AE678" i="1"/>
  <c r="AF678" i="1"/>
  <c r="AE677" i="1"/>
  <c r="AF677" i="1"/>
  <c r="AF669" i="1"/>
  <c r="AE669" i="1"/>
  <c r="AE668" i="1"/>
  <c r="AF668" i="1"/>
  <c r="AE676" i="1"/>
  <c r="AF676" i="1"/>
  <c r="AF679" i="1"/>
  <c r="AE679" i="1"/>
  <c r="AF671" i="1"/>
  <c r="AE671" i="1"/>
  <c r="AE673" i="1"/>
  <c r="AF673" i="1"/>
  <c r="AF670" i="1"/>
  <c r="AE670" i="1"/>
  <c r="AE674" i="1"/>
  <c r="AF674" i="1"/>
  <c r="AF680" i="1"/>
  <c r="AE680" i="1"/>
  <c r="AF681" i="1"/>
  <c r="AE681" i="1"/>
  <c r="AF667" i="1"/>
  <c r="AE667" i="1"/>
  <c r="AE672" i="1"/>
  <c r="AF672" i="1"/>
  <c r="AE666" i="1"/>
  <c r="AF666" i="1"/>
  <c r="AE186" i="1"/>
  <c r="AE185" i="1"/>
  <c r="AE202" i="1"/>
  <c r="AF202" i="1"/>
  <c r="AF196" i="1"/>
  <c r="AE187" i="1"/>
  <c r="AE196" i="1"/>
  <c r="AE200" i="1"/>
  <c r="AF201" i="1"/>
  <c r="AE198" i="1"/>
  <c r="AF197" i="1"/>
  <c r="AE197" i="1"/>
  <c r="AF186" i="1"/>
  <c r="AE188" i="1"/>
  <c r="AF188" i="1"/>
  <c r="AE189" i="1"/>
  <c r="AE192" i="1"/>
  <c r="AF192" i="1"/>
  <c r="AF189" i="1"/>
  <c r="AE195" i="1"/>
  <c r="AF198" i="1"/>
  <c r="AE201" i="1"/>
  <c r="AF195" i="1"/>
  <c r="AE191" i="1"/>
  <c r="AE193" i="1"/>
  <c r="AF199" i="1"/>
  <c r="AE194" i="1"/>
  <c r="AF187" i="1"/>
  <c r="AF200" i="1"/>
  <c r="AF191" i="1"/>
  <c r="AE199" i="1"/>
  <c r="AF193" i="1"/>
  <c r="V274" i="1"/>
  <c r="AE274" i="1"/>
  <c r="AF274" i="1"/>
  <c r="AA274" i="1"/>
  <c r="V294" i="1"/>
  <c r="AE294" i="1"/>
  <c r="AF294" i="1"/>
  <c r="AA294" i="1"/>
  <c r="V486" i="1"/>
  <c r="AF486" i="1"/>
  <c r="AE486" i="1"/>
  <c r="AA486" i="1"/>
  <c r="V506" i="1"/>
  <c r="AA506" i="1"/>
  <c r="AF506" i="1"/>
  <c r="AE506" i="1"/>
  <c r="V435" i="1"/>
  <c r="AA435" i="1"/>
  <c r="AF655" i="1"/>
  <c r="V655" i="1"/>
  <c r="AE655" i="1"/>
  <c r="AA655" i="1"/>
  <c r="V258" i="1"/>
  <c r="AF258" i="1"/>
  <c r="AA258" i="1"/>
  <c r="AE258" i="1"/>
  <c r="V378" i="1"/>
  <c r="AA378" i="1"/>
  <c r="AF378" i="1"/>
  <c r="AE378" i="1"/>
  <c r="V398" i="1"/>
  <c r="AE398" i="1"/>
  <c r="AF398" i="1"/>
  <c r="AA398" i="1"/>
  <c r="V536" i="1"/>
  <c r="AF536" i="1"/>
  <c r="AE536" i="1"/>
  <c r="AA536" i="1"/>
  <c r="V636" i="1"/>
  <c r="AF636" i="1"/>
  <c r="AA636" i="1"/>
  <c r="AE636" i="1"/>
  <c r="V377" i="1"/>
  <c r="AF377" i="1"/>
  <c r="AA377" i="1"/>
  <c r="AE377" i="1"/>
  <c r="AA477" i="1"/>
  <c r="V477" i="1"/>
  <c r="AF477" i="1"/>
  <c r="AE477" i="1"/>
  <c r="V447" i="1"/>
  <c r="AF547" i="1"/>
  <c r="AE547" i="1"/>
  <c r="AA547" i="1"/>
  <c r="V547" i="1"/>
  <c r="AE659" i="1"/>
  <c r="V659" i="1"/>
  <c r="AF659" i="1"/>
  <c r="AA659" i="1"/>
  <c r="AE648" i="1"/>
  <c r="AF648" i="1"/>
  <c r="V648" i="1"/>
  <c r="AA648" i="1"/>
  <c r="V348" i="1"/>
  <c r="AE348" i="1"/>
  <c r="AF348" i="1"/>
  <c r="AA348" i="1"/>
  <c r="V428" i="1"/>
  <c r="AA428" i="1"/>
  <c r="V580" i="1"/>
  <c r="AE580" i="1"/>
  <c r="AF580" i="1"/>
  <c r="AA580" i="1"/>
  <c r="AA469" i="1"/>
  <c r="AF469" i="1"/>
  <c r="AE469" i="1"/>
  <c r="V469" i="1"/>
  <c r="V569" i="1"/>
  <c r="AA569" i="1"/>
  <c r="AE569" i="1"/>
  <c r="AF569" i="1"/>
  <c r="V621" i="1"/>
  <c r="AF621" i="1"/>
  <c r="AE621" i="1"/>
  <c r="AA621" i="1"/>
  <c r="V570" i="1"/>
  <c r="AA570" i="1"/>
  <c r="AE570" i="1"/>
  <c r="AF570" i="1"/>
  <c r="V342" i="1"/>
  <c r="AE342" i="1"/>
  <c r="AA342" i="1"/>
  <c r="AF342" i="1"/>
  <c r="V362" i="1"/>
  <c r="AF362" i="1"/>
  <c r="AE362" i="1"/>
  <c r="AA362" i="1"/>
  <c r="V382" i="1"/>
  <c r="AA382" i="1"/>
  <c r="AE382" i="1"/>
  <c r="AF382" i="1"/>
  <c r="AE552" i="1"/>
  <c r="AF552" i="1"/>
  <c r="V552" i="1"/>
  <c r="AA552" i="1"/>
  <c r="V652" i="1"/>
  <c r="AE652" i="1"/>
  <c r="AF652" i="1"/>
  <c r="AA652" i="1"/>
  <c r="V231" i="1"/>
  <c r="AF231" i="1"/>
  <c r="AE231" i="1"/>
  <c r="AA231" i="1"/>
  <c r="V593" i="1"/>
  <c r="AE593" i="1"/>
  <c r="AF593" i="1"/>
  <c r="AA593" i="1"/>
  <c r="V205" i="1"/>
  <c r="AA205" i="1"/>
  <c r="AF205" i="1"/>
  <c r="AE205" i="1"/>
  <c r="V305" i="1"/>
  <c r="AE305" i="1"/>
  <c r="AF305" i="1"/>
  <c r="AA305" i="1"/>
  <c r="V374" i="1"/>
  <c r="AF374" i="1"/>
  <c r="AE374" i="1"/>
  <c r="AA374" i="1"/>
  <c r="V354" i="1"/>
  <c r="AF354" i="1"/>
  <c r="AE354" i="1"/>
  <c r="AA354" i="1"/>
  <c r="V546" i="1"/>
  <c r="AF546" i="1"/>
  <c r="AE546" i="1"/>
  <c r="AA546" i="1"/>
  <c r="V566" i="1"/>
  <c r="AF566" i="1"/>
  <c r="AA566" i="1"/>
  <c r="AE566" i="1"/>
  <c r="V495" i="1"/>
  <c r="AA495" i="1"/>
  <c r="AE495" i="1"/>
  <c r="AF495" i="1"/>
  <c r="V418" i="1"/>
  <c r="AF418" i="1"/>
  <c r="AA418" i="1"/>
  <c r="AE418" i="1"/>
  <c r="V438" i="1"/>
  <c r="AA438" i="1"/>
  <c r="V458" i="1"/>
  <c r="V436" i="1"/>
  <c r="AA436" i="1"/>
  <c r="V596" i="1"/>
  <c r="AF596" i="1"/>
  <c r="AA596" i="1"/>
  <c r="AE596" i="1"/>
  <c r="V337" i="1"/>
  <c r="AF337" i="1"/>
  <c r="AA337" i="1"/>
  <c r="AE337" i="1"/>
  <c r="V437" i="1"/>
  <c r="AA437" i="1"/>
  <c r="AF537" i="1"/>
  <c r="V537" i="1"/>
  <c r="AE537" i="1"/>
  <c r="AA537" i="1"/>
  <c r="V587" i="1"/>
  <c r="AE587" i="1"/>
  <c r="AA587" i="1"/>
  <c r="AF587" i="1"/>
  <c r="V507" i="1"/>
  <c r="AE507" i="1"/>
  <c r="AF507" i="1"/>
  <c r="AA507" i="1"/>
  <c r="V607" i="1"/>
  <c r="AA607" i="1"/>
  <c r="AE607" i="1"/>
  <c r="AF607" i="1"/>
  <c r="V328" i="1"/>
  <c r="AA328" i="1"/>
  <c r="AE328" i="1"/>
  <c r="AF328" i="1"/>
  <c r="V488" i="1"/>
  <c r="AF488" i="1"/>
  <c r="AA488" i="1"/>
  <c r="AE488" i="1"/>
  <c r="V640" i="1"/>
  <c r="AA640" i="1"/>
  <c r="AE640" i="1"/>
  <c r="AF640" i="1"/>
  <c r="V529" i="1"/>
  <c r="AE529" i="1"/>
  <c r="AF529" i="1"/>
  <c r="AA529" i="1"/>
  <c r="V629" i="1"/>
  <c r="AF629" i="1"/>
  <c r="AE629" i="1"/>
  <c r="AA629" i="1"/>
  <c r="V221" i="1"/>
  <c r="AA221" i="1"/>
  <c r="AE221" i="1"/>
  <c r="AF221" i="1"/>
  <c r="AA681" i="1"/>
  <c r="V630" i="1"/>
  <c r="AA630" i="1"/>
  <c r="AE630" i="1"/>
  <c r="AF630" i="1"/>
  <c r="V462" i="1"/>
  <c r="V422" i="1"/>
  <c r="AA422" i="1"/>
  <c r="AE422" i="1"/>
  <c r="AF422" i="1"/>
  <c r="V442" i="1"/>
  <c r="AA442" i="1"/>
  <c r="V572" i="1"/>
  <c r="AE572" i="1"/>
  <c r="AF572" i="1"/>
  <c r="AA572" i="1"/>
  <c r="V612" i="1"/>
  <c r="AE612" i="1"/>
  <c r="AF612" i="1"/>
  <c r="AA612" i="1"/>
  <c r="V291" i="1"/>
  <c r="AA291" i="1"/>
  <c r="AE291" i="1"/>
  <c r="AF291" i="1"/>
  <c r="V413" i="1"/>
  <c r="AE413" i="1"/>
  <c r="AF413" i="1"/>
  <c r="AA413" i="1"/>
  <c r="V265" i="1"/>
  <c r="AF265" i="1"/>
  <c r="AA265" i="1"/>
  <c r="AE265" i="1"/>
  <c r="V365" i="1"/>
  <c r="AF365" i="1"/>
  <c r="AE365" i="1"/>
  <c r="AA365" i="1"/>
  <c r="V254" i="1"/>
  <c r="AE254" i="1"/>
  <c r="AA254" i="1"/>
  <c r="AF254" i="1"/>
  <c r="V334" i="1"/>
  <c r="AF334" i="1"/>
  <c r="AE334" i="1"/>
  <c r="AA334" i="1"/>
  <c r="V414" i="1"/>
  <c r="AE414" i="1"/>
  <c r="AF414" i="1"/>
  <c r="AA414" i="1"/>
  <c r="V606" i="1"/>
  <c r="AF606" i="1"/>
  <c r="AA606" i="1"/>
  <c r="AE606" i="1"/>
  <c r="V626" i="1"/>
  <c r="AF626" i="1"/>
  <c r="AA626" i="1"/>
  <c r="AE626" i="1"/>
  <c r="AE555" i="1"/>
  <c r="AF555" i="1"/>
  <c r="V555" i="1"/>
  <c r="AA555" i="1"/>
  <c r="V498" i="1"/>
  <c r="AA498" i="1"/>
  <c r="AF498" i="1"/>
  <c r="AE498" i="1"/>
  <c r="V518" i="1"/>
  <c r="AF518" i="1"/>
  <c r="AE518" i="1"/>
  <c r="AA518" i="1"/>
  <c r="V496" i="1"/>
  <c r="AA496" i="1"/>
  <c r="AE496" i="1"/>
  <c r="AF496" i="1"/>
  <c r="AF656" i="1"/>
  <c r="V656" i="1"/>
  <c r="AE656" i="1"/>
  <c r="AA656" i="1"/>
  <c r="V277" i="1"/>
  <c r="AF277" i="1"/>
  <c r="AA277" i="1"/>
  <c r="AE277" i="1"/>
  <c r="V497" i="1"/>
  <c r="AA497" i="1"/>
  <c r="AE497" i="1"/>
  <c r="AF497" i="1"/>
  <c r="V597" i="1"/>
  <c r="AE597" i="1"/>
  <c r="AA597" i="1"/>
  <c r="AF597" i="1"/>
  <c r="V287" i="1"/>
  <c r="AF287" i="1"/>
  <c r="AA287" i="1"/>
  <c r="AE287" i="1"/>
  <c r="V567" i="1"/>
  <c r="AE567" i="1"/>
  <c r="AF567" i="1"/>
  <c r="AA567" i="1"/>
  <c r="AA667" i="1"/>
  <c r="V259" i="1"/>
  <c r="AF259" i="1"/>
  <c r="AA259" i="1"/>
  <c r="AE259" i="1"/>
  <c r="V388" i="1"/>
  <c r="AE388" i="1"/>
  <c r="AF388" i="1"/>
  <c r="AA388" i="1"/>
  <c r="AE548" i="1"/>
  <c r="AF548" i="1"/>
  <c r="V548" i="1"/>
  <c r="AA548" i="1"/>
  <c r="V360" i="1"/>
  <c r="AE360" i="1"/>
  <c r="AF360" i="1"/>
  <c r="AA360" i="1"/>
  <c r="V589" i="1"/>
  <c r="AE589" i="1"/>
  <c r="AF589" i="1"/>
  <c r="AA589" i="1"/>
  <c r="V489" i="1"/>
  <c r="AA489" i="1"/>
  <c r="AE489" i="1"/>
  <c r="AF489" i="1"/>
  <c r="V281" i="1"/>
  <c r="AA281" i="1"/>
  <c r="AE281" i="1"/>
  <c r="AF281" i="1"/>
  <c r="V210" i="1"/>
  <c r="AA210" i="1"/>
  <c r="AF210" i="1"/>
  <c r="AE210" i="1"/>
  <c r="V242" i="1"/>
  <c r="AE242" i="1"/>
  <c r="AF242" i="1"/>
  <c r="AA242" i="1"/>
  <c r="AA482" i="1"/>
  <c r="AF482" i="1"/>
  <c r="AE482" i="1"/>
  <c r="V482" i="1"/>
  <c r="AF502" i="1"/>
  <c r="V502" i="1"/>
  <c r="AA502" i="1"/>
  <c r="AE502" i="1"/>
  <c r="V272" i="1"/>
  <c r="AA272" i="1"/>
  <c r="AE272" i="1"/>
  <c r="AF272" i="1"/>
  <c r="AA672" i="1"/>
  <c r="V251" i="1"/>
  <c r="AA251" i="1"/>
  <c r="AE251" i="1"/>
  <c r="AF251" i="1"/>
  <c r="V351" i="1"/>
  <c r="AF351" i="1"/>
  <c r="AE351" i="1"/>
  <c r="AA351" i="1"/>
  <c r="V253" i="1"/>
  <c r="AE253" i="1"/>
  <c r="AA253" i="1"/>
  <c r="AF253" i="1"/>
  <c r="AE653" i="1"/>
  <c r="V653" i="1"/>
  <c r="AF653" i="1"/>
  <c r="AA653" i="1"/>
  <c r="V325" i="1"/>
  <c r="AA325" i="1"/>
  <c r="AE325" i="1"/>
  <c r="AF325" i="1"/>
  <c r="V425" i="1"/>
  <c r="AA425" i="1"/>
  <c r="V234" i="1"/>
  <c r="AE234" i="1"/>
  <c r="AF234" i="1"/>
  <c r="AA234" i="1"/>
  <c r="V394" i="1"/>
  <c r="AF394" i="1"/>
  <c r="AE394" i="1"/>
  <c r="AA394" i="1"/>
  <c r="AE474" i="1"/>
  <c r="AA474" i="1"/>
  <c r="AF474" i="1"/>
  <c r="V474" i="1"/>
  <c r="AA666" i="1"/>
  <c r="V215" i="1"/>
  <c r="AA215" i="1"/>
  <c r="AE215" i="1"/>
  <c r="AF215" i="1"/>
  <c r="V218" i="1"/>
  <c r="AA218" i="1"/>
  <c r="AE218" i="1"/>
  <c r="AF218" i="1"/>
  <c r="AF558" i="1"/>
  <c r="AE558" i="1"/>
  <c r="V558" i="1"/>
  <c r="AA558" i="1"/>
  <c r="V578" i="1"/>
  <c r="AF578" i="1"/>
  <c r="AA578" i="1"/>
  <c r="AE578" i="1"/>
  <c r="AF556" i="1"/>
  <c r="AE556" i="1"/>
  <c r="V556" i="1"/>
  <c r="AA556" i="1"/>
  <c r="V217" i="1"/>
  <c r="AA217" i="1"/>
  <c r="AF217" i="1"/>
  <c r="AE217" i="1"/>
  <c r="AE557" i="1"/>
  <c r="AF557" i="1"/>
  <c r="V557" i="1"/>
  <c r="AA557" i="1"/>
  <c r="AF657" i="1"/>
  <c r="V657" i="1"/>
  <c r="AE657" i="1"/>
  <c r="AA657" i="1"/>
  <c r="V407" i="1"/>
  <c r="AF407" i="1"/>
  <c r="AA407" i="1"/>
  <c r="AE407" i="1"/>
  <c r="V627" i="1"/>
  <c r="AE627" i="1"/>
  <c r="AF627" i="1"/>
  <c r="AA627" i="1"/>
  <c r="V299" i="1"/>
  <c r="AF299" i="1"/>
  <c r="AA299" i="1"/>
  <c r="AE299" i="1"/>
  <c r="V219" i="1"/>
  <c r="AA219" i="1"/>
  <c r="AF219" i="1"/>
  <c r="AE219" i="1"/>
  <c r="V319" i="1"/>
  <c r="AE319" i="1"/>
  <c r="AF319" i="1"/>
  <c r="AA319" i="1"/>
  <c r="V448" i="1"/>
  <c r="V608" i="1"/>
  <c r="AE608" i="1"/>
  <c r="AF608" i="1"/>
  <c r="AA608" i="1"/>
  <c r="AE660" i="1"/>
  <c r="V660" i="1"/>
  <c r="AF660" i="1"/>
  <c r="AA660" i="1"/>
  <c r="V369" i="1"/>
  <c r="AA369" i="1"/>
  <c r="AF369" i="1"/>
  <c r="AE369" i="1"/>
  <c r="AE649" i="1"/>
  <c r="AF649" i="1"/>
  <c r="V649" i="1"/>
  <c r="AA649" i="1"/>
  <c r="AE549" i="1"/>
  <c r="AF549" i="1"/>
  <c r="V549" i="1"/>
  <c r="AA549" i="1"/>
  <c r="V241" i="1"/>
  <c r="AA241" i="1"/>
  <c r="AE241" i="1"/>
  <c r="AF241" i="1"/>
  <c r="V341" i="1"/>
  <c r="AA341" i="1"/>
  <c r="AE341" i="1"/>
  <c r="AF341" i="1"/>
  <c r="V290" i="1"/>
  <c r="AA290" i="1"/>
  <c r="AE290" i="1"/>
  <c r="AF290" i="1"/>
  <c r="V250" i="1"/>
  <c r="AA250" i="1"/>
  <c r="AE250" i="1"/>
  <c r="AF250" i="1"/>
  <c r="V542" i="1"/>
  <c r="AE542" i="1"/>
  <c r="AF542" i="1"/>
  <c r="AA542" i="1"/>
  <c r="AF562" i="1"/>
  <c r="AE562" i="1"/>
  <c r="V562" i="1"/>
  <c r="AA562" i="1"/>
  <c r="V212" i="1"/>
  <c r="AA212" i="1"/>
  <c r="AE212" i="1"/>
  <c r="AF212" i="1"/>
  <c r="V391" i="1"/>
  <c r="AF391" i="1"/>
  <c r="AE391" i="1"/>
  <c r="AA391" i="1"/>
  <c r="V311" i="1"/>
  <c r="AE311" i="1"/>
  <c r="AF311" i="1"/>
  <c r="AA311" i="1"/>
  <c r="V411" i="1"/>
  <c r="AA411" i="1"/>
  <c r="AE411" i="1"/>
  <c r="AF411" i="1"/>
  <c r="V313" i="1"/>
  <c r="AF313" i="1"/>
  <c r="AE313" i="1"/>
  <c r="AA313" i="1"/>
  <c r="V225" i="1"/>
  <c r="AE225" i="1"/>
  <c r="AF225" i="1"/>
  <c r="AA225" i="1"/>
  <c r="V385" i="1"/>
  <c r="AE385" i="1"/>
  <c r="AF385" i="1"/>
  <c r="AA385" i="1"/>
  <c r="AA485" i="1"/>
  <c r="AF485" i="1"/>
  <c r="V485" i="1"/>
  <c r="AE485" i="1"/>
  <c r="AF194" i="1"/>
  <c r="V454" i="1"/>
  <c r="V534" i="1"/>
  <c r="AA534" i="1"/>
  <c r="AF534" i="1"/>
  <c r="AE534" i="1"/>
  <c r="V466" i="1"/>
  <c r="AE466" i="1"/>
  <c r="AF466" i="1"/>
  <c r="AA466" i="1"/>
  <c r="AA675" i="1"/>
  <c r="V275" i="1"/>
  <c r="AE275" i="1"/>
  <c r="AF275" i="1"/>
  <c r="AA275" i="1"/>
  <c r="V618" i="1"/>
  <c r="AF618" i="1"/>
  <c r="AA618" i="1"/>
  <c r="AE618" i="1"/>
  <c r="V638" i="1"/>
  <c r="AF638" i="1"/>
  <c r="AA638" i="1"/>
  <c r="AE638" i="1"/>
  <c r="V236" i="1"/>
  <c r="AE236" i="1"/>
  <c r="AF236" i="1"/>
  <c r="AA236" i="1"/>
  <c r="V617" i="1"/>
  <c r="AA617" i="1"/>
  <c r="AE617" i="1"/>
  <c r="AF617" i="1"/>
  <c r="V457" i="1"/>
  <c r="V467" i="1"/>
  <c r="AE467" i="1"/>
  <c r="AF467" i="1"/>
  <c r="AA467" i="1"/>
  <c r="V599" i="1"/>
  <c r="AE599" i="1"/>
  <c r="AF599" i="1"/>
  <c r="AA599" i="1"/>
  <c r="V279" i="1"/>
  <c r="AF279" i="1"/>
  <c r="AA279" i="1"/>
  <c r="AE279" i="1"/>
  <c r="V379" i="1"/>
  <c r="AF379" i="1"/>
  <c r="AA379" i="1"/>
  <c r="AE379" i="1"/>
  <c r="AE508" i="1"/>
  <c r="AA508" i="1"/>
  <c r="AF508" i="1"/>
  <c r="V508" i="1"/>
  <c r="AA668" i="1"/>
  <c r="V220" i="1"/>
  <c r="AA220" i="1"/>
  <c r="AF220" i="1"/>
  <c r="AE220" i="1"/>
  <c r="V260" i="1"/>
  <c r="AF260" i="1"/>
  <c r="AA260" i="1"/>
  <c r="AE260" i="1"/>
  <c r="V249" i="1"/>
  <c r="AA249" i="1"/>
  <c r="AE249" i="1"/>
  <c r="AF249" i="1"/>
  <c r="V609" i="1"/>
  <c r="AA609" i="1"/>
  <c r="AE609" i="1"/>
  <c r="AF609" i="1"/>
  <c r="V301" i="1"/>
  <c r="AA301" i="1"/>
  <c r="AE301" i="1"/>
  <c r="AF301" i="1"/>
  <c r="V401" i="1"/>
  <c r="AE401" i="1"/>
  <c r="AF401" i="1"/>
  <c r="AA401" i="1"/>
  <c r="V350" i="1"/>
  <c r="AF350" i="1"/>
  <c r="AE350" i="1"/>
  <c r="AA350" i="1"/>
  <c r="V310" i="1"/>
  <c r="AE310" i="1"/>
  <c r="AF310" i="1"/>
  <c r="AA310" i="1"/>
  <c r="V602" i="1"/>
  <c r="AA602" i="1"/>
  <c r="AE602" i="1"/>
  <c r="AF602" i="1"/>
  <c r="V622" i="1"/>
  <c r="AA622" i="1"/>
  <c r="AE622" i="1"/>
  <c r="AF622" i="1"/>
  <c r="V511" i="1"/>
  <c r="AF511" i="1"/>
  <c r="AA511" i="1"/>
  <c r="AE511" i="1"/>
  <c r="V371" i="1"/>
  <c r="AA371" i="1"/>
  <c r="AF371" i="1"/>
  <c r="AE371" i="1"/>
  <c r="AF471" i="1"/>
  <c r="V471" i="1"/>
  <c r="AA471" i="1"/>
  <c r="AE471" i="1"/>
  <c r="V213" i="1"/>
  <c r="AA213" i="1"/>
  <c r="AE213" i="1"/>
  <c r="AF213" i="1"/>
  <c r="V373" i="1"/>
  <c r="AE373" i="1"/>
  <c r="AF373" i="1"/>
  <c r="AA373" i="1"/>
  <c r="V445" i="1"/>
  <c r="AF545" i="1"/>
  <c r="AE545" i="1"/>
  <c r="V545" i="1"/>
  <c r="AA545" i="1"/>
  <c r="V514" i="1"/>
  <c r="AA514" i="1"/>
  <c r="AE514" i="1"/>
  <c r="AF514" i="1"/>
  <c r="V594" i="1"/>
  <c r="AE594" i="1"/>
  <c r="AF594" i="1"/>
  <c r="AA594" i="1"/>
  <c r="V526" i="1"/>
  <c r="AE526" i="1"/>
  <c r="AA526" i="1"/>
  <c r="AF526" i="1"/>
  <c r="V375" i="1"/>
  <c r="AE375" i="1"/>
  <c r="AF375" i="1"/>
  <c r="AA375" i="1"/>
  <c r="V235" i="1"/>
  <c r="AE235" i="1"/>
  <c r="AA235" i="1"/>
  <c r="AF235" i="1"/>
  <c r="V335" i="1"/>
  <c r="AF335" i="1"/>
  <c r="AA335" i="1"/>
  <c r="AE335" i="1"/>
  <c r="AA678" i="1"/>
  <c r="V216" i="1"/>
  <c r="AA216" i="1"/>
  <c r="AE216" i="1"/>
  <c r="AF216" i="1"/>
  <c r="AA677" i="1"/>
  <c r="V577" i="1"/>
  <c r="AA577" i="1"/>
  <c r="AE577" i="1"/>
  <c r="AF577" i="1"/>
  <c r="V527" i="1"/>
  <c r="AE527" i="1"/>
  <c r="AF527" i="1"/>
  <c r="AA527" i="1"/>
  <c r="V419" i="1"/>
  <c r="AF419" i="1"/>
  <c r="AA419" i="1"/>
  <c r="AE419" i="1"/>
  <c r="V339" i="1"/>
  <c r="AA339" i="1"/>
  <c r="AE339" i="1"/>
  <c r="AF339" i="1"/>
  <c r="V439" i="1"/>
  <c r="AA439" i="1"/>
  <c r="V588" i="1"/>
  <c r="AE588" i="1"/>
  <c r="AF588" i="1"/>
  <c r="AA588" i="1"/>
  <c r="V568" i="1"/>
  <c r="AE568" i="1"/>
  <c r="AF568" i="1"/>
  <c r="AA568" i="1"/>
  <c r="V600" i="1"/>
  <c r="AA600" i="1"/>
  <c r="AE600" i="1"/>
  <c r="AF600" i="1"/>
  <c r="V320" i="1"/>
  <c r="AE320" i="1"/>
  <c r="AF320" i="1"/>
  <c r="AA320" i="1"/>
  <c r="V309" i="1"/>
  <c r="AE309" i="1"/>
  <c r="AF309" i="1"/>
  <c r="AA309" i="1"/>
  <c r="AA669" i="1"/>
  <c r="V361" i="1"/>
  <c r="AE361" i="1"/>
  <c r="AF361" i="1"/>
  <c r="AA361" i="1"/>
  <c r="V461" i="1"/>
  <c r="V410" i="1"/>
  <c r="AA410" i="1"/>
  <c r="AE410" i="1"/>
  <c r="AF410" i="1"/>
  <c r="V370" i="1"/>
  <c r="AF370" i="1"/>
  <c r="AA370" i="1"/>
  <c r="AE370" i="1"/>
  <c r="V222" i="1"/>
  <c r="AA222" i="1"/>
  <c r="AE222" i="1"/>
  <c r="AF222" i="1"/>
  <c r="AE662" i="1"/>
  <c r="AF662" i="1"/>
  <c r="V662" i="1"/>
  <c r="AA662" i="1"/>
  <c r="V232" i="1"/>
  <c r="AA232" i="1"/>
  <c r="AE232" i="1"/>
  <c r="AF232" i="1"/>
  <c r="V451" i="1"/>
  <c r="V431" i="1"/>
  <c r="AA431" i="1"/>
  <c r="AF531" i="1"/>
  <c r="V531" i="1"/>
  <c r="AA531" i="1"/>
  <c r="AE531" i="1"/>
  <c r="V273" i="1"/>
  <c r="AE273" i="1"/>
  <c r="AF273" i="1"/>
  <c r="AA273" i="1"/>
  <c r="V433" i="1"/>
  <c r="AA433" i="1"/>
  <c r="V505" i="1"/>
  <c r="AF505" i="1"/>
  <c r="AA505" i="1"/>
  <c r="AE505" i="1"/>
  <c r="V605" i="1"/>
  <c r="AF605" i="1"/>
  <c r="AE605" i="1"/>
  <c r="AA605" i="1"/>
  <c r="V574" i="1"/>
  <c r="AE574" i="1"/>
  <c r="AF574" i="1"/>
  <c r="AA574" i="1"/>
  <c r="V654" i="1"/>
  <c r="AF654" i="1"/>
  <c r="AE654" i="1"/>
  <c r="AA654" i="1"/>
  <c r="V286" i="1"/>
  <c r="AF286" i="1"/>
  <c r="AA286" i="1"/>
  <c r="AE286" i="1"/>
  <c r="V586" i="1"/>
  <c r="AF586" i="1"/>
  <c r="AA586" i="1"/>
  <c r="AE586" i="1"/>
  <c r="V615" i="1"/>
  <c r="AA615" i="1"/>
  <c r="AF615" i="1"/>
  <c r="AE615" i="1"/>
  <c r="V295" i="1"/>
  <c r="AE295" i="1"/>
  <c r="AF295" i="1"/>
  <c r="AA295" i="1"/>
  <c r="V395" i="1"/>
  <c r="AE395" i="1"/>
  <c r="AF395" i="1"/>
  <c r="AA395" i="1"/>
  <c r="V478" i="1"/>
  <c r="AA478" i="1"/>
  <c r="AE478" i="1"/>
  <c r="AF478" i="1"/>
  <c r="AA676" i="1"/>
  <c r="V276" i="1"/>
  <c r="AE276" i="1"/>
  <c r="AF276" i="1"/>
  <c r="AA276" i="1"/>
  <c r="V517" i="1"/>
  <c r="AA517" i="1"/>
  <c r="AF517" i="1"/>
  <c r="AE517" i="1"/>
  <c r="V539" i="1"/>
  <c r="AE539" i="1"/>
  <c r="AF539" i="1"/>
  <c r="AA539" i="1"/>
  <c r="V399" i="1"/>
  <c r="AE399" i="1"/>
  <c r="AF399" i="1"/>
  <c r="AA399" i="1"/>
  <c r="AE499" i="1"/>
  <c r="V499" i="1"/>
  <c r="AF499" i="1"/>
  <c r="AA499" i="1"/>
  <c r="V288" i="1"/>
  <c r="AF288" i="1"/>
  <c r="AA288" i="1"/>
  <c r="AE288" i="1"/>
  <c r="V628" i="1"/>
  <c r="AE628" i="1"/>
  <c r="AF628" i="1"/>
  <c r="AA628" i="1"/>
  <c r="V280" i="1"/>
  <c r="AF280" i="1"/>
  <c r="AA280" i="1"/>
  <c r="AE280" i="1"/>
  <c r="V380" i="1"/>
  <c r="AF380" i="1"/>
  <c r="AA380" i="1"/>
  <c r="AE380" i="1"/>
  <c r="V209" i="1"/>
  <c r="AA209" i="1"/>
  <c r="AF209" i="1"/>
  <c r="AE209" i="1"/>
  <c r="V429" i="1"/>
  <c r="AA429" i="1"/>
  <c r="V421" i="1"/>
  <c r="AA421" i="1"/>
  <c r="AE421" i="1"/>
  <c r="AF421" i="1"/>
  <c r="V521" i="1"/>
  <c r="AA521" i="1"/>
  <c r="AF521" i="1"/>
  <c r="AE521" i="1"/>
  <c r="V470" i="1"/>
  <c r="AF470" i="1"/>
  <c r="AA470" i="1"/>
  <c r="AE470" i="1"/>
  <c r="V430" i="1"/>
  <c r="AA430" i="1"/>
  <c r="V522" i="1"/>
  <c r="AE522" i="1"/>
  <c r="AA522" i="1"/>
  <c r="AF522" i="1"/>
  <c r="V512" i="1"/>
  <c r="AF512" i="1"/>
  <c r="AA512" i="1"/>
  <c r="AE512" i="1"/>
  <c r="V392" i="1"/>
  <c r="AF392" i="1"/>
  <c r="AE392" i="1"/>
  <c r="AA392" i="1"/>
  <c r="V292" i="1"/>
  <c r="AA292" i="1"/>
  <c r="AE292" i="1"/>
  <c r="AF292" i="1"/>
  <c r="V331" i="1"/>
  <c r="AE331" i="1"/>
  <c r="AA331" i="1"/>
  <c r="AF331" i="1"/>
  <c r="V491" i="1"/>
  <c r="AF491" i="1"/>
  <c r="AA491" i="1"/>
  <c r="AE491" i="1"/>
  <c r="V591" i="1"/>
  <c r="AE591" i="1"/>
  <c r="AF591" i="1"/>
  <c r="AA591" i="1"/>
  <c r="V333" i="1"/>
  <c r="AF333" i="1"/>
  <c r="AA333" i="1"/>
  <c r="AE333" i="1"/>
  <c r="AE493" i="1"/>
  <c r="AF493" i="1"/>
  <c r="V493" i="1"/>
  <c r="AA493" i="1"/>
  <c r="V565" i="1"/>
  <c r="AF565" i="1"/>
  <c r="AE565" i="1"/>
  <c r="AA565" i="1"/>
  <c r="AA665" i="1"/>
  <c r="V314" i="1"/>
  <c r="AF314" i="1"/>
  <c r="AE314" i="1"/>
  <c r="AA314" i="1"/>
  <c r="V634" i="1"/>
  <c r="AE634" i="1"/>
  <c r="AF634" i="1"/>
  <c r="AA634" i="1"/>
  <c r="V406" i="1"/>
  <c r="AF406" i="1"/>
  <c r="AA406" i="1"/>
  <c r="AE406" i="1"/>
  <c r="V646" i="1"/>
  <c r="AE646" i="1"/>
  <c r="AF646" i="1"/>
  <c r="AA646" i="1"/>
  <c r="V255" i="1"/>
  <c r="AE255" i="1"/>
  <c r="AF255" i="1"/>
  <c r="AA255" i="1"/>
  <c r="V355" i="1"/>
  <c r="AF355" i="1"/>
  <c r="AE355" i="1"/>
  <c r="AA355" i="1"/>
  <c r="V455" i="1"/>
  <c r="V538" i="1"/>
  <c r="AA538" i="1"/>
  <c r="AE538" i="1"/>
  <c r="AF538" i="1"/>
  <c r="V376" i="1"/>
  <c r="AE376" i="1"/>
  <c r="AA376" i="1"/>
  <c r="AF376" i="1"/>
  <c r="V336" i="1"/>
  <c r="AE336" i="1"/>
  <c r="AA336" i="1"/>
  <c r="AF336" i="1"/>
  <c r="V397" i="1"/>
  <c r="AF397" i="1"/>
  <c r="AE397" i="1"/>
  <c r="AA397" i="1"/>
  <c r="V637" i="1"/>
  <c r="AA637" i="1"/>
  <c r="AE637" i="1"/>
  <c r="AF637" i="1"/>
  <c r="V247" i="1"/>
  <c r="AF247" i="1"/>
  <c r="AA247" i="1"/>
  <c r="AE247" i="1"/>
  <c r="V239" i="1"/>
  <c r="AF239" i="1"/>
  <c r="AA239" i="1"/>
  <c r="AE239" i="1"/>
  <c r="V459" i="1"/>
  <c r="AF559" i="1"/>
  <c r="AE559" i="1"/>
  <c r="AA559" i="1"/>
  <c r="V559" i="1"/>
  <c r="V528" i="1"/>
  <c r="AE528" i="1"/>
  <c r="AF528" i="1"/>
  <c r="AA528" i="1"/>
  <c r="V420" i="1"/>
  <c r="AF420" i="1"/>
  <c r="AA420" i="1"/>
  <c r="AE420" i="1"/>
  <c r="V300" i="1"/>
  <c r="AF300" i="1"/>
  <c r="AA300" i="1"/>
  <c r="AE300" i="1"/>
  <c r="V440" i="1"/>
  <c r="AA440" i="1"/>
  <c r="V269" i="1"/>
  <c r="AA269" i="1"/>
  <c r="AE269" i="1"/>
  <c r="AF269" i="1"/>
  <c r="V381" i="1"/>
  <c r="AE381" i="1"/>
  <c r="AA381" i="1"/>
  <c r="AF381" i="1"/>
  <c r="AA481" i="1"/>
  <c r="AF481" i="1"/>
  <c r="AE481" i="1"/>
  <c r="V481" i="1"/>
  <c r="V581" i="1"/>
  <c r="AF581" i="1"/>
  <c r="AE581" i="1"/>
  <c r="AA581" i="1"/>
  <c r="V530" i="1"/>
  <c r="AA530" i="1"/>
  <c r="AF530" i="1"/>
  <c r="AE530" i="1"/>
  <c r="V490" i="1"/>
  <c r="AE490" i="1"/>
  <c r="AA490" i="1"/>
  <c r="AF490" i="1"/>
  <c r="V582" i="1"/>
  <c r="AA582" i="1"/>
  <c r="AE582" i="1"/>
  <c r="AF582" i="1"/>
  <c r="V452" i="1"/>
  <c r="V352" i="1"/>
  <c r="AF352" i="1"/>
  <c r="AE352" i="1"/>
  <c r="AA352" i="1"/>
  <c r="V271" i="1"/>
  <c r="AA271" i="1"/>
  <c r="AE271" i="1"/>
  <c r="AF271" i="1"/>
  <c r="AE551" i="1"/>
  <c r="AF551" i="1"/>
  <c r="AA551" i="1"/>
  <c r="V551" i="1"/>
  <c r="V651" i="1"/>
  <c r="AE651" i="1"/>
  <c r="AF651" i="1"/>
  <c r="AA651" i="1"/>
  <c r="V393" i="1"/>
  <c r="AF393" i="1"/>
  <c r="AE393" i="1"/>
  <c r="AA393" i="1"/>
  <c r="AE553" i="1"/>
  <c r="AF553" i="1"/>
  <c r="V553" i="1"/>
  <c r="AA553" i="1"/>
  <c r="V345" i="1"/>
  <c r="AE345" i="1"/>
  <c r="AF345" i="1"/>
  <c r="AA358" i="1"/>
  <c r="AA345" i="1"/>
  <c r="V625" i="1"/>
  <c r="AA625" i="1"/>
  <c r="AE625" i="1"/>
  <c r="AF625" i="1"/>
  <c r="AA641" i="1"/>
  <c r="V405" i="1"/>
  <c r="AE405" i="1"/>
  <c r="AF405" i="1"/>
  <c r="AA405" i="1"/>
  <c r="V494" i="1"/>
  <c r="AF494" i="1"/>
  <c r="AE494" i="1"/>
  <c r="AA494" i="1"/>
  <c r="V206" i="1"/>
  <c r="AA206" i="1"/>
  <c r="AF206" i="1"/>
  <c r="AE206" i="1"/>
  <c r="V246" i="1"/>
  <c r="AE246" i="1"/>
  <c r="AF246" i="1"/>
  <c r="AA246" i="1"/>
  <c r="V266" i="1"/>
  <c r="AF266" i="1"/>
  <c r="AA266" i="1"/>
  <c r="AE266" i="1"/>
  <c r="V415" i="1"/>
  <c r="AE415" i="1"/>
  <c r="AF415" i="1"/>
  <c r="AA415" i="1"/>
  <c r="AA515" i="1"/>
  <c r="V515" i="1"/>
  <c r="AE515" i="1"/>
  <c r="AF515" i="1"/>
  <c r="V358" i="1"/>
  <c r="AF358" i="1"/>
  <c r="AE358" i="1"/>
  <c r="V598" i="1"/>
  <c r="AF598" i="1"/>
  <c r="AA598" i="1"/>
  <c r="AE598" i="1"/>
  <c r="V616" i="1"/>
  <c r="AA616" i="1"/>
  <c r="AE616" i="1"/>
  <c r="AF616" i="1"/>
  <c r="V296" i="1"/>
  <c r="AE296" i="1"/>
  <c r="AF296" i="1"/>
  <c r="AA296" i="1"/>
  <c r="V396" i="1"/>
  <c r="AE396" i="1"/>
  <c r="AF396" i="1"/>
  <c r="AA396" i="1"/>
  <c r="V237" i="1"/>
  <c r="AF237" i="1"/>
  <c r="AA237" i="1"/>
  <c r="AE237" i="1"/>
  <c r="V227" i="1"/>
  <c r="AF227" i="1"/>
  <c r="AA227" i="1"/>
  <c r="AE227" i="1"/>
  <c r="V207" i="1"/>
  <c r="AA207" i="1"/>
  <c r="AF207" i="1"/>
  <c r="AE207" i="1"/>
  <c r="V307" i="1"/>
  <c r="AE307" i="1"/>
  <c r="AF307" i="1"/>
  <c r="AA307" i="1"/>
  <c r="V479" i="1"/>
  <c r="AE479" i="1"/>
  <c r="AF479" i="1"/>
  <c r="AA479" i="1"/>
  <c r="V519" i="1"/>
  <c r="AE519" i="1"/>
  <c r="AF519" i="1"/>
  <c r="AA519" i="1"/>
  <c r="V619" i="1"/>
  <c r="AE619" i="1"/>
  <c r="AA619" i="1"/>
  <c r="AF619" i="1"/>
  <c r="V408" i="1"/>
  <c r="AF408" i="1"/>
  <c r="AA408" i="1"/>
  <c r="AE408" i="1"/>
  <c r="V540" i="1"/>
  <c r="AE540" i="1"/>
  <c r="AA540" i="1"/>
  <c r="AF540" i="1"/>
  <c r="V340" i="1"/>
  <c r="AE340" i="1"/>
  <c r="AA340" i="1"/>
  <c r="AF340" i="1"/>
  <c r="V500" i="1"/>
  <c r="AF500" i="1"/>
  <c r="AE500" i="1"/>
  <c r="AA500" i="1"/>
  <c r="V229" i="1"/>
  <c r="AA229" i="1"/>
  <c r="AE229" i="1"/>
  <c r="AF229" i="1"/>
  <c r="V329" i="1"/>
  <c r="AE329" i="1"/>
  <c r="AF329" i="1"/>
  <c r="AA329" i="1"/>
  <c r="V261" i="1"/>
  <c r="AA261" i="1"/>
  <c r="AE261" i="1"/>
  <c r="AF261" i="1"/>
  <c r="V541" i="1"/>
  <c r="AE541" i="1"/>
  <c r="AA541" i="1"/>
  <c r="AF541" i="1"/>
  <c r="V641" i="1"/>
  <c r="AE641" i="1"/>
  <c r="AF641" i="1"/>
  <c r="V390" i="1"/>
  <c r="AE390" i="1"/>
  <c r="AF390" i="1"/>
  <c r="AA390" i="1"/>
  <c r="V590" i="1"/>
  <c r="AA590" i="1"/>
  <c r="AE590" i="1"/>
  <c r="AF590" i="1"/>
  <c r="AE550" i="1"/>
  <c r="AF550" i="1"/>
  <c r="V550" i="1"/>
  <c r="AA550" i="1"/>
  <c r="V642" i="1"/>
  <c r="AA642" i="1"/>
  <c r="AE642" i="1"/>
  <c r="AF642" i="1"/>
  <c r="V332" i="1"/>
  <c r="AA332" i="1"/>
  <c r="AF332" i="1"/>
  <c r="AE332" i="1"/>
  <c r="V312" i="1"/>
  <c r="AF312" i="1"/>
  <c r="AE312" i="1"/>
  <c r="AA312" i="1"/>
  <c r="V412" i="1"/>
  <c r="AE412" i="1"/>
  <c r="AA412" i="1"/>
  <c r="AF412" i="1"/>
  <c r="V211" i="1"/>
  <c r="AA211" i="1"/>
  <c r="AF211" i="1"/>
  <c r="AE211" i="1"/>
  <c r="V611" i="1"/>
  <c r="AF611" i="1"/>
  <c r="AA611" i="1"/>
  <c r="AE611" i="1"/>
  <c r="V293" i="1"/>
  <c r="AE293" i="1"/>
  <c r="AF293" i="1"/>
  <c r="AA293" i="1"/>
  <c r="V453" i="1"/>
  <c r="V613" i="1"/>
  <c r="AA613" i="1"/>
  <c r="AF613" i="1"/>
  <c r="AE613" i="1"/>
  <c r="V285" i="1"/>
  <c r="AF285" i="1"/>
  <c r="AA285" i="1"/>
  <c r="AE285" i="1"/>
  <c r="V525" i="1"/>
  <c r="AE525" i="1"/>
  <c r="AA525" i="1"/>
  <c r="AF525" i="1"/>
  <c r="V434" i="1"/>
  <c r="AA434" i="1"/>
  <c r="AE554" i="1"/>
  <c r="AF554" i="1"/>
  <c r="V554" i="1"/>
  <c r="AA554" i="1"/>
  <c r="V226" i="1"/>
  <c r="AF226" i="1"/>
  <c r="AA226" i="1"/>
  <c r="AE226" i="1"/>
  <c r="V306" i="1"/>
  <c r="AE306" i="1"/>
  <c r="AF306" i="1"/>
  <c r="AA306" i="1"/>
  <c r="V326" i="1"/>
  <c r="AE326" i="1"/>
  <c r="AA326" i="1"/>
  <c r="AF326" i="1"/>
  <c r="V315" i="1"/>
  <c r="AF315" i="1"/>
  <c r="AE315" i="1"/>
  <c r="AA315" i="1"/>
  <c r="AE475" i="1"/>
  <c r="V475" i="1"/>
  <c r="AA475" i="1"/>
  <c r="AF475" i="1"/>
  <c r="V575" i="1"/>
  <c r="AF575" i="1"/>
  <c r="AA575" i="1"/>
  <c r="AE575" i="1"/>
  <c r="V238" i="1"/>
  <c r="AF238" i="1"/>
  <c r="AA238" i="1"/>
  <c r="AE238" i="1"/>
  <c r="AF658" i="1"/>
  <c r="AE658" i="1"/>
  <c r="V658" i="1"/>
  <c r="AA658" i="1"/>
  <c r="V256" i="1"/>
  <c r="AE256" i="1"/>
  <c r="AF256" i="1"/>
  <c r="AA256" i="1"/>
  <c r="V356" i="1"/>
  <c r="AE356" i="1"/>
  <c r="AF356" i="1"/>
  <c r="AA356" i="1"/>
  <c r="V456" i="1"/>
  <c r="V297" i="1"/>
  <c r="AF297" i="1"/>
  <c r="AA297" i="1"/>
  <c r="AE297" i="1"/>
  <c r="V347" i="1"/>
  <c r="AE347" i="1"/>
  <c r="AF347" i="1"/>
  <c r="AA347" i="1"/>
  <c r="V267" i="1"/>
  <c r="AF267" i="1"/>
  <c r="AA267" i="1"/>
  <c r="AE267" i="1"/>
  <c r="V367" i="1"/>
  <c r="AF367" i="1"/>
  <c r="AA367" i="1"/>
  <c r="AE367" i="1"/>
  <c r="V579" i="1"/>
  <c r="AE579" i="1"/>
  <c r="AA579" i="1"/>
  <c r="AF579" i="1"/>
  <c r="AA679" i="1"/>
  <c r="V468" i="1"/>
  <c r="AA468" i="1"/>
  <c r="AF468" i="1"/>
  <c r="AE468" i="1"/>
  <c r="V248" i="1"/>
  <c r="AF248" i="1"/>
  <c r="AA248" i="1"/>
  <c r="AE248" i="1"/>
  <c r="V240" i="1"/>
  <c r="AF240" i="1"/>
  <c r="AA240" i="1"/>
  <c r="AE240" i="1"/>
  <c r="V400" i="1"/>
  <c r="AE400" i="1"/>
  <c r="AF400" i="1"/>
  <c r="AA400" i="1"/>
  <c r="AF560" i="1"/>
  <c r="AE560" i="1"/>
  <c r="V560" i="1"/>
  <c r="AA560" i="1"/>
  <c r="V289" i="1"/>
  <c r="AA289" i="1"/>
  <c r="AE289" i="1"/>
  <c r="AF289" i="1"/>
  <c r="V389" i="1"/>
  <c r="AE389" i="1"/>
  <c r="AF389" i="1"/>
  <c r="AA389" i="1"/>
  <c r="V601" i="1"/>
  <c r="AE601" i="1"/>
  <c r="AF601" i="1"/>
  <c r="AA601" i="1"/>
  <c r="V441" i="1"/>
  <c r="AA441" i="1"/>
  <c r="V330" i="1"/>
  <c r="AE330" i="1"/>
  <c r="AF330" i="1"/>
  <c r="AA330" i="1"/>
  <c r="AE650" i="1"/>
  <c r="AF650" i="1"/>
  <c r="V650" i="1"/>
  <c r="AA650" i="1"/>
  <c r="V610" i="1"/>
  <c r="AA610" i="1"/>
  <c r="AE610" i="1"/>
  <c r="AF610" i="1"/>
  <c r="V402" i="1"/>
  <c r="AE402" i="1"/>
  <c r="AF402" i="1"/>
  <c r="AA402" i="1"/>
  <c r="V252" i="1"/>
  <c r="AA252" i="1"/>
  <c r="AE252" i="1"/>
  <c r="AF252" i="1"/>
  <c r="V372" i="1"/>
  <c r="AA372" i="1"/>
  <c r="AE372" i="1"/>
  <c r="AF372" i="1"/>
  <c r="V472" i="1"/>
  <c r="AE472" i="1"/>
  <c r="AF472" i="1"/>
  <c r="AA472" i="1"/>
  <c r="V631" i="1"/>
  <c r="AF631" i="1"/>
  <c r="AE631" i="1"/>
  <c r="AA631" i="1"/>
  <c r="AA671" i="1"/>
  <c r="V233" i="1"/>
  <c r="AA233" i="1"/>
  <c r="AE233" i="1"/>
  <c r="AF233" i="1"/>
  <c r="V513" i="1"/>
  <c r="AA513" i="1"/>
  <c r="AF513" i="1"/>
  <c r="AE513" i="1"/>
  <c r="AA673" i="1"/>
  <c r="AF645" i="1"/>
  <c r="V645" i="1"/>
  <c r="AE645" i="1"/>
  <c r="AA645" i="1"/>
  <c r="V214" i="1"/>
  <c r="AA214" i="1"/>
  <c r="AE214" i="1"/>
  <c r="AF214" i="1"/>
  <c r="V614" i="1"/>
  <c r="AE614" i="1"/>
  <c r="AF614" i="1"/>
  <c r="AA614" i="1"/>
  <c r="V346" i="1"/>
  <c r="AE346" i="1"/>
  <c r="AF346" i="1"/>
  <c r="AA346" i="1"/>
  <c r="V366" i="1"/>
  <c r="AF366" i="1"/>
  <c r="AE366" i="1"/>
  <c r="AA366" i="1"/>
  <c r="V386" i="1"/>
  <c r="AE386" i="1"/>
  <c r="AF386" i="1"/>
  <c r="AA386" i="1"/>
  <c r="V535" i="1"/>
  <c r="AA535" i="1"/>
  <c r="AE535" i="1"/>
  <c r="AF535" i="1"/>
  <c r="V635" i="1"/>
  <c r="AA635" i="1"/>
  <c r="AF635" i="1"/>
  <c r="AE635" i="1"/>
  <c r="V278" i="1"/>
  <c r="AF278" i="1"/>
  <c r="AA278" i="1"/>
  <c r="AE278" i="1"/>
  <c r="V416" i="1"/>
  <c r="AF416" i="1"/>
  <c r="AE416" i="1"/>
  <c r="AA416" i="1"/>
  <c r="V516" i="1"/>
  <c r="AE516" i="1"/>
  <c r="AA516" i="1"/>
  <c r="AF516" i="1"/>
  <c r="V257" i="1"/>
  <c r="AF257" i="1"/>
  <c r="AA257" i="1"/>
  <c r="AE257" i="1"/>
  <c r="V357" i="1"/>
  <c r="AF357" i="1"/>
  <c r="AE357" i="1"/>
  <c r="AA357" i="1"/>
  <c r="V327" i="1"/>
  <c r="AA327" i="1"/>
  <c r="AF327" i="1"/>
  <c r="AE327" i="1"/>
  <c r="V427" i="1"/>
  <c r="AA427" i="1"/>
  <c r="V639" i="1"/>
  <c r="AA639" i="1"/>
  <c r="AE639" i="1"/>
  <c r="AF639" i="1"/>
  <c r="V268" i="1"/>
  <c r="AF268" i="1"/>
  <c r="AA268" i="1"/>
  <c r="AE268" i="1"/>
  <c r="V308" i="1"/>
  <c r="AF308" i="1"/>
  <c r="AE308" i="1"/>
  <c r="AA308" i="1"/>
  <c r="V480" i="1"/>
  <c r="AE480" i="1"/>
  <c r="AA480" i="1"/>
  <c r="AF480" i="1"/>
  <c r="V460" i="1"/>
  <c r="V620" i="1"/>
  <c r="AE620" i="1"/>
  <c r="AF620" i="1"/>
  <c r="AA620" i="1"/>
  <c r="V349" i="1"/>
  <c r="AE349" i="1"/>
  <c r="AF349" i="1"/>
  <c r="AA349" i="1"/>
  <c r="V449" i="1"/>
  <c r="AE661" i="1"/>
  <c r="AF661" i="1"/>
  <c r="V661" i="1"/>
  <c r="AA661" i="1"/>
  <c r="AF501" i="1"/>
  <c r="V501" i="1"/>
  <c r="AE501" i="1"/>
  <c r="AA501" i="1"/>
  <c r="V270" i="1"/>
  <c r="AA270" i="1"/>
  <c r="AE270" i="1"/>
  <c r="AF270" i="1"/>
  <c r="V450" i="1"/>
  <c r="AA670" i="1"/>
  <c r="V302" i="1"/>
  <c r="AA302" i="1"/>
  <c r="AE302" i="1"/>
  <c r="AF302" i="1"/>
  <c r="V262" i="1"/>
  <c r="AA262" i="1"/>
  <c r="AE262" i="1"/>
  <c r="AF262" i="1"/>
  <c r="V632" i="1"/>
  <c r="AF632" i="1"/>
  <c r="AA632" i="1"/>
  <c r="AE632" i="1"/>
  <c r="V432" i="1"/>
  <c r="AA432" i="1"/>
  <c r="V532" i="1"/>
  <c r="AA532" i="1"/>
  <c r="AE532" i="1"/>
  <c r="AF532" i="1"/>
  <c r="V573" i="1"/>
  <c r="AF573" i="1"/>
  <c r="AA573" i="1"/>
  <c r="AE573" i="1"/>
  <c r="AA473" i="1"/>
  <c r="AE473" i="1"/>
  <c r="V473" i="1"/>
  <c r="AF473" i="1"/>
  <c r="V85" i="1"/>
  <c r="AE85" i="1"/>
  <c r="AA465" i="1"/>
  <c r="V465" i="1"/>
  <c r="AE465" i="1"/>
  <c r="AF465" i="1"/>
  <c r="AA674" i="1"/>
  <c r="V426" i="1"/>
  <c r="AA426" i="1"/>
  <c r="V446" i="1"/>
  <c r="V595" i="1"/>
  <c r="AA595" i="1"/>
  <c r="AE595" i="1"/>
  <c r="AF595" i="1"/>
  <c r="V298" i="1"/>
  <c r="AF298" i="1"/>
  <c r="AA298" i="1"/>
  <c r="AE298" i="1"/>
  <c r="V318" i="1"/>
  <c r="AE318" i="1"/>
  <c r="AF318" i="1"/>
  <c r="AA318" i="1"/>
  <c r="V338" i="1"/>
  <c r="AF338" i="1"/>
  <c r="AA338" i="1"/>
  <c r="AE338" i="1"/>
  <c r="V316" i="1"/>
  <c r="AE316" i="1"/>
  <c r="AF316" i="1"/>
  <c r="AA316" i="1"/>
  <c r="AE476" i="1"/>
  <c r="V476" i="1"/>
  <c r="AA476" i="1"/>
  <c r="AF476" i="1"/>
  <c r="V576" i="1"/>
  <c r="AA576" i="1"/>
  <c r="AE576" i="1"/>
  <c r="AF576" i="1"/>
  <c r="V317" i="1"/>
  <c r="AF317" i="1"/>
  <c r="AE317" i="1"/>
  <c r="AA317" i="1"/>
  <c r="V417" i="1"/>
  <c r="AF417" i="1"/>
  <c r="AA417" i="1"/>
  <c r="AE417" i="1"/>
  <c r="AE647" i="1"/>
  <c r="V647" i="1"/>
  <c r="AF647" i="1"/>
  <c r="AA647" i="1"/>
  <c r="V387" i="1"/>
  <c r="AE387" i="1"/>
  <c r="AF387" i="1"/>
  <c r="AA387" i="1"/>
  <c r="AE487" i="1"/>
  <c r="V487" i="1"/>
  <c r="AF487" i="1"/>
  <c r="AA487" i="1"/>
  <c r="V359" i="1"/>
  <c r="AF359" i="1"/>
  <c r="AE359" i="1"/>
  <c r="AA359" i="1"/>
  <c r="V208" i="1"/>
  <c r="AA208" i="1"/>
  <c r="AF208" i="1"/>
  <c r="AE208" i="1"/>
  <c r="V228" i="1"/>
  <c r="AF228" i="1"/>
  <c r="AA228" i="1"/>
  <c r="AE228" i="1"/>
  <c r="V368" i="1"/>
  <c r="AF368" i="1"/>
  <c r="AE368" i="1"/>
  <c r="AA368" i="1"/>
  <c r="AF520" i="1"/>
  <c r="V520" i="1"/>
  <c r="AA520" i="1"/>
  <c r="AE520" i="1"/>
  <c r="AA680" i="1"/>
  <c r="V409" i="1"/>
  <c r="AA409" i="1"/>
  <c r="AE409" i="1"/>
  <c r="AF409" i="1"/>
  <c r="AE509" i="1"/>
  <c r="AA509" i="1"/>
  <c r="AF509" i="1"/>
  <c r="V509" i="1"/>
  <c r="V321" i="1"/>
  <c r="AF321" i="1"/>
  <c r="AE321" i="1"/>
  <c r="AA321" i="1"/>
  <c r="AE561" i="1"/>
  <c r="AF561" i="1"/>
  <c r="V561" i="1"/>
  <c r="AA561" i="1"/>
  <c r="V230" i="1"/>
  <c r="AF230" i="1"/>
  <c r="AA230" i="1"/>
  <c r="AE230" i="1"/>
  <c r="AE510" i="1"/>
  <c r="V510" i="1"/>
  <c r="AF510" i="1"/>
  <c r="AA510" i="1"/>
  <c r="V282" i="1"/>
  <c r="AA282" i="1"/>
  <c r="AE282" i="1"/>
  <c r="AF282" i="1"/>
  <c r="V322" i="1"/>
  <c r="AE322" i="1"/>
  <c r="AF322" i="1"/>
  <c r="AA322" i="1"/>
  <c r="AE492" i="1"/>
  <c r="AA492" i="1"/>
  <c r="AF492" i="1"/>
  <c r="V492" i="1"/>
  <c r="V592" i="1"/>
  <c r="AF592" i="1"/>
  <c r="AA592" i="1"/>
  <c r="AE592" i="1"/>
  <c r="V571" i="1"/>
  <c r="AE571" i="1"/>
  <c r="AF571" i="1"/>
  <c r="AA571" i="1"/>
  <c r="V353" i="1"/>
  <c r="AF353" i="1"/>
  <c r="AE353" i="1"/>
  <c r="AA353" i="1"/>
  <c r="V633" i="1"/>
  <c r="AE633" i="1"/>
  <c r="AF633" i="1"/>
  <c r="AA633" i="1"/>
  <c r="V533" i="1"/>
  <c r="AA533" i="1"/>
  <c r="AE533" i="1"/>
  <c r="AF533" i="1"/>
  <c r="V245" i="1"/>
  <c r="AF245" i="1"/>
  <c r="AA245" i="1"/>
  <c r="AE245" i="1"/>
  <c r="V585" i="1"/>
  <c r="AA585" i="1"/>
  <c r="AE585" i="1"/>
  <c r="AF585" i="1"/>
  <c r="AF185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K30" i="6"/>
  <c r="K21" i="6"/>
  <c r="K11" i="6"/>
  <c r="AG665" i="1" l="1"/>
  <c r="AG125" i="1"/>
  <c r="AG146" i="1"/>
  <c r="AG105" i="1"/>
  <c r="AG35" i="1"/>
  <c r="AG28" i="1"/>
  <c r="AG40" i="1"/>
  <c r="AG41" i="1"/>
  <c r="AG32" i="1"/>
  <c r="AG31" i="1"/>
  <c r="AG30" i="1"/>
  <c r="AG25" i="1"/>
  <c r="AG42" i="1"/>
  <c r="AG29" i="1"/>
  <c r="AG34" i="1"/>
  <c r="AG27" i="1"/>
  <c r="AG38" i="1"/>
  <c r="AG37" i="1"/>
  <c r="AG33" i="1"/>
  <c r="AG39" i="1"/>
  <c r="AG36" i="1"/>
  <c r="AG26" i="1"/>
  <c r="AG537" i="1"/>
  <c r="AG657" i="1"/>
  <c r="AG678" i="1"/>
  <c r="AG292" i="1"/>
  <c r="AG429" i="1"/>
  <c r="AG185" i="1"/>
  <c r="AG558" i="1"/>
  <c r="AG261" i="1"/>
  <c r="AG502" i="1"/>
  <c r="AG279" i="1"/>
  <c r="AG457" i="1"/>
  <c r="AG638" i="1"/>
  <c r="AG618" i="1"/>
  <c r="AG367" i="1"/>
  <c r="AG297" i="1"/>
  <c r="AG575" i="1"/>
  <c r="AG285" i="1"/>
  <c r="AG667" i="1"/>
  <c r="AG620" i="1"/>
  <c r="AG386" i="1"/>
  <c r="AG614" i="1"/>
  <c r="AG514" i="1"/>
  <c r="AG602" i="1"/>
  <c r="AG301" i="1"/>
  <c r="AG562" i="1"/>
  <c r="AG556" i="1"/>
  <c r="AG210" i="1"/>
  <c r="AG385" i="1"/>
  <c r="AG608" i="1"/>
  <c r="AG600" i="1"/>
  <c r="AG439" i="1"/>
  <c r="V755" i="1"/>
  <c r="V747" i="1"/>
  <c r="V752" i="1"/>
  <c r="AG213" i="1"/>
  <c r="AG609" i="1"/>
  <c r="AG567" i="1"/>
  <c r="V736" i="1"/>
  <c r="V758" i="1"/>
  <c r="AG526" i="1"/>
  <c r="V738" i="1"/>
  <c r="V757" i="1"/>
  <c r="V754" i="1"/>
  <c r="V760" i="1"/>
  <c r="V745" i="1"/>
  <c r="V744" i="1"/>
  <c r="V732" i="1"/>
  <c r="V728" i="1"/>
  <c r="V759" i="1"/>
  <c r="V740" i="1"/>
  <c r="V733" i="1"/>
  <c r="V731" i="1"/>
  <c r="V750" i="1"/>
  <c r="V735" i="1"/>
  <c r="V724" i="1"/>
  <c r="V748" i="1"/>
  <c r="AG633" i="1"/>
  <c r="V741" i="1"/>
  <c r="V727" i="1"/>
  <c r="V729" i="1"/>
  <c r="V737" i="1"/>
  <c r="V739" i="1"/>
  <c r="V749" i="1"/>
  <c r="V726" i="1"/>
  <c r="V751" i="1"/>
  <c r="V753" i="1"/>
  <c r="V730" i="1"/>
  <c r="V756" i="1"/>
  <c r="V761" i="1"/>
  <c r="AG238" i="1"/>
  <c r="AG226" i="1"/>
  <c r="AG239" i="1"/>
  <c r="AG413" i="1"/>
  <c r="AG572" i="1"/>
  <c r="V734" i="1"/>
  <c r="V746" i="1"/>
  <c r="AG369" i="1"/>
  <c r="AG474" i="1"/>
  <c r="AG242" i="1"/>
  <c r="AG414" i="1"/>
  <c r="AG387" i="1"/>
  <c r="AG316" i="1"/>
  <c r="AG472" i="1"/>
  <c r="AG402" i="1"/>
  <c r="AG330" i="1"/>
  <c r="AG410" i="1"/>
  <c r="AG234" i="1"/>
  <c r="AG286" i="1"/>
  <c r="AG219" i="1"/>
  <c r="AG217" i="1"/>
  <c r="AG653" i="1"/>
  <c r="AG498" i="1"/>
  <c r="AG509" i="1"/>
  <c r="AG542" i="1"/>
  <c r="AG319" i="1"/>
  <c r="AG627" i="1"/>
  <c r="AG360" i="1"/>
  <c r="AG522" i="1"/>
  <c r="AG480" i="1"/>
  <c r="AG267" i="1"/>
  <c r="AG456" i="1"/>
  <c r="AG611" i="1"/>
  <c r="AG420" i="1"/>
  <c r="AG406" i="1"/>
  <c r="AG586" i="1"/>
  <c r="AG312" i="1"/>
  <c r="AG352" i="1"/>
  <c r="AG581" i="1"/>
  <c r="AG355" i="1"/>
  <c r="AG550" i="1"/>
  <c r="AG421" i="1"/>
  <c r="AG516" i="1"/>
  <c r="AG331" i="1"/>
  <c r="AG349" i="1"/>
  <c r="AG389" i="1"/>
  <c r="AG400" i="1"/>
  <c r="AG346" i="1"/>
  <c r="AG205" i="1"/>
  <c r="AG492" i="1"/>
  <c r="AG510" i="1"/>
  <c r="AG322" i="1"/>
  <c r="AG237" i="1"/>
  <c r="AG299" i="1"/>
  <c r="AG596" i="1"/>
  <c r="AG438" i="1"/>
  <c r="AG566" i="1"/>
  <c r="AG513" i="1"/>
  <c r="AG560" i="1"/>
  <c r="AG211" i="1"/>
  <c r="AG332" i="1"/>
  <c r="AG530" i="1"/>
  <c r="AG374" i="1"/>
  <c r="AG473" i="1"/>
  <c r="AG652" i="1"/>
  <c r="AG580" i="1"/>
  <c r="AG452" i="1"/>
  <c r="AG554" i="1"/>
  <c r="AG430" i="1"/>
  <c r="AG222" i="1"/>
  <c r="AG339" i="1"/>
  <c r="AG577" i="1"/>
  <c r="AG622" i="1"/>
  <c r="AG249" i="1"/>
  <c r="AG612" i="1"/>
  <c r="AG378" i="1"/>
  <c r="AG235" i="1"/>
  <c r="AG255" i="1"/>
  <c r="AG634" i="1"/>
  <c r="AG501" i="1"/>
  <c r="AG598" i="1"/>
  <c r="AG553" i="1"/>
  <c r="AG551" i="1"/>
  <c r="AG565" i="1"/>
  <c r="AG508" i="1"/>
  <c r="AG379" i="1"/>
  <c r="AG300" i="1"/>
  <c r="AG247" i="1"/>
  <c r="AG455" i="1"/>
  <c r="AG393" i="1"/>
  <c r="AG314" i="1"/>
  <c r="AG654" i="1"/>
  <c r="AG547" i="1"/>
  <c r="AG228" i="1"/>
  <c r="AG674" i="1"/>
  <c r="AG528" i="1"/>
  <c r="AG382" i="1"/>
  <c r="AG570" i="1"/>
  <c r="AG655" i="1"/>
  <c r="AG230" i="1"/>
  <c r="AG337" i="1"/>
  <c r="AG458" i="1"/>
  <c r="AG435" i="1"/>
  <c r="AG592" i="1"/>
  <c r="AG613" i="1"/>
  <c r="AG500" i="1"/>
  <c r="AG447" i="1"/>
  <c r="AG505" i="1"/>
  <c r="AG605" i="1"/>
  <c r="AG229" i="1"/>
  <c r="AG415" i="1"/>
  <c r="AG625" i="1"/>
  <c r="AG318" i="1"/>
  <c r="AG216" i="1"/>
  <c r="AG441" i="1"/>
  <c r="AG289" i="1"/>
  <c r="AG515" i="1"/>
  <c r="AG245" i="1"/>
  <c r="AG347" i="1"/>
  <c r="AG356" i="1"/>
  <c r="AG453" i="1"/>
  <c r="AG615" i="1"/>
  <c r="AG629" i="1"/>
  <c r="AG546" i="1"/>
  <c r="AG231" i="1"/>
  <c r="AG469" i="1"/>
  <c r="AG486" i="1"/>
  <c r="AG432" i="1"/>
  <c r="AG571" i="1"/>
  <c r="AG208" i="1"/>
  <c r="AG392" i="1"/>
  <c r="AG350" i="1"/>
  <c r="AG679" i="1"/>
  <c r="AG269" i="1"/>
  <c r="AG459" i="1"/>
  <c r="AG637" i="1"/>
  <c r="AG493" i="1"/>
  <c r="AG606" i="1"/>
  <c r="AG529" i="1"/>
  <c r="AG294" i="1"/>
  <c r="AG338" i="1"/>
  <c r="AG327" i="1"/>
  <c r="AG635" i="1"/>
  <c r="AG477" i="1"/>
  <c r="AG258" i="1"/>
  <c r="AG506" i="1"/>
  <c r="AG601" i="1"/>
  <c r="AG616" i="1"/>
  <c r="AG405" i="1"/>
  <c r="AG246" i="1"/>
  <c r="AG617" i="1"/>
  <c r="AG225" i="1"/>
  <c r="AG311" i="1"/>
  <c r="AG589" i="1"/>
  <c r="AG388" i="1"/>
  <c r="AG417" i="1"/>
  <c r="AG645" i="1"/>
  <c r="AG485" i="1"/>
  <c r="AG253" i="1"/>
  <c r="AG259" i="1"/>
  <c r="AG488" i="1"/>
  <c r="AG437" i="1"/>
  <c r="AG436" i="1"/>
  <c r="AG377" i="1"/>
  <c r="AG639" i="1"/>
  <c r="AG357" i="1"/>
  <c r="AG416" i="1"/>
  <c r="AG535" i="1"/>
  <c r="AG631" i="1"/>
  <c r="AG252" i="1"/>
  <c r="AG207" i="1"/>
  <c r="AG578" i="1"/>
  <c r="AG418" i="1"/>
  <c r="AG591" i="1"/>
  <c r="AG531" i="1"/>
  <c r="AG669" i="1"/>
  <c r="AG527" i="1"/>
  <c r="AG545" i="1"/>
  <c r="AG310" i="1"/>
  <c r="AG466" i="1"/>
  <c r="AG313" i="1"/>
  <c r="AG391" i="1"/>
  <c r="AG215" i="1"/>
  <c r="AG672" i="1"/>
  <c r="AG482" i="1"/>
  <c r="AG281" i="1"/>
  <c r="AG555" i="1"/>
  <c r="AG533" i="1"/>
  <c r="AG487" i="1"/>
  <c r="AG476" i="1"/>
  <c r="AG465" i="1"/>
  <c r="AG233" i="1"/>
  <c r="AG650" i="1"/>
  <c r="AG642" i="1"/>
  <c r="AG541" i="1"/>
  <c r="AG540" i="1"/>
  <c r="AG519" i="1"/>
  <c r="AG396" i="1"/>
  <c r="AG271" i="1"/>
  <c r="AG582" i="1"/>
  <c r="AG499" i="1"/>
  <c r="AG478" i="1"/>
  <c r="AG232" i="1"/>
  <c r="AG662" i="1"/>
  <c r="AG461" i="1"/>
  <c r="AG287" i="1"/>
  <c r="AG277" i="1"/>
  <c r="AG626" i="1"/>
  <c r="AG265" i="1"/>
  <c r="AG507" i="1"/>
  <c r="AG305" i="1"/>
  <c r="AG348" i="1"/>
  <c r="AG398" i="1"/>
  <c r="AG520" i="1"/>
  <c r="AG298" i="1"/>
  <c r="AG426" i="1"/>
  <c r="AG257" i="1"/>
  <c r="AG278" i="1"/>
  <c r="AG240" i="1"/>
  <c r="AG256" i="1"/>
  <c r="AG326" i="1"/>
  <c r="AG293" i="1"/>
  <c r="AG412" i="1"/>
  <c r="AG390" i="1"/>
  <c r="AG266" i="1"/>
  <c r="AG381" i="1"/>
  <c r="AG559" i="1"/>
  <c r="AG336" i="1"/>
  <c r="AG646" i="1"/>
  <c r="AG491" i="1"/>
  <c r="AG521" i="1"/>
  <c r="AG209" i="1"/>
  <c r="AG445" i="1"/>
  <c r="AG471" i="1"/>
  <c r="AG668" i="1"/>
  <c r="AG467" i="1"/>
  <c r="AG236" i="1"/>
  <c r="AG275" i="1"/>
  <c r="AG534" i="1"/>
  <c r="AG549" i="1"/>
  <c r="AG660" i="1"/>
  <c r="AG557" i="1"/>
  <c r="AG394" i="1"/>
  <c r="AG325" i="1"/>
  <c r="AG351" i="1"/>
  <c r="AG518" i="1"/>
  <c r="AG334" i="1"/>
  <c r="AG422" i="1"/>
  <c r="AG317" i="1"/>
  <c r="AG532" i="1"/>
  <c r="AG262" i="1"/>
  <c r="AG670" i="1"/>
  <c r="AG308" i="1"/>
  <c r="AG427" i="1"/>
  <c r="AG408" i="1"/>
  <c r="AG227" i="1"/>
  <c r="AG358" i="1"/>
  <c r="AG494" i="1"/>
  <c r="AG407" i="1"/>
  <c r="AG636" i="1"/>
  <c r="AG628" i="1"/>
  <c r="AG399" i="1"/>
  <c r="AG276" i="1"/>
  <c r="AG309" i="1"/>
  <c r="AG568" i="1"/>
  <c r="AG594" i="1"/>
  <c r="AG401" i="1"/>
  <c r="AG675" i="1"/>
  <c r="AG411" i="1"/>
  <c r="AG212" i="1"/>
  <c r="AG250" i="1"/>
  <c r="AG341" i="1"/>
  <c r="AG666" i="1"/>
  <c r="AG272" i="1"/>
  <c r="AG489" i="1"/>
  <c r="AG328" i="1"/>
  <c r="AG495" i="1"/>
  <c r="AG354" i="1"/>
  <c r="AG362" i="1"/>
  <c r="AG621" i="1"/>
  <c r="AG585" i="1"/>
  <c r="AG282" i="1"/>
  <c r="AG409" i="1"/>
  <c r="AG450" i="1"/>
  <c r="AG661" i="1"/>
  <c r="AG673" i="1"/>
  <c r="AG479" i="1"/>
  <c r="AG296" i="1"/>
  <c r="AG587" i="1"/>
  <c r="AG268" i="1"/>
  <c r="AG671" i="1"/>
  <c r="AG248" i="1"/>
  <c r="AG658" i="1"/>
  <c r="AG306" i="1"/>
  <c r="AG434" i="1"/>
  <c r="AG345" i="1"/>
  <c r="AG651" i="1"/>
  <c r="AG490" i="1"/>
  <c r="AG376" i="1"/>
  <c r="AG333" i="1"/>
  <c r="AG512" i="1"/>
  <c r="AG470" i="1"/>
  <c r="AG380" i="1"/>
  <c r="AG288" i="1"/>
  <c r="AG395" i="1"/>
  <c r="AG574" i="1"/>
  <c r="AG433" i="1"/>
  <c r="AG431" i="1"/>
  <c r="AG370" i="1"/>
  <c r="AG361" i="1"/>
  <c r="AG419" i="1"/>
  <c r="AG371" i="1"/>
  <c r="AG260" i="1"/>
  <c r="AG649" i="1"/>
  <c r="AG251" i="1"/>
  <c r="AG548" i="1"/>
  <c r="AG656" i="1"/>
  <c r="AG462" i="1"/>
  <c r="AG681" i="1"/>
  <c r="AG648" i="1"/>
  <c r="AG561" i="1"/>
  <c r="AG368" i="1"/>
  <c r="AG359" i="1"/>
  <c r="AG576" i="1"/>
  <c r="AG595" i="1"/>
  <c r="AG302" i="1"/>
  <c r="AG449" i="1"/>
  <c r="AG460" i="1"/>
  <c r="AG366" i="1"/>
  <c r="AG214" i="1"/>
  <c r="AG372" i="1"/>
  <c r="AG610" i="1"/>
  <c r="AG475" i="1"/>
  <c r="AG597" i="1"/>
  <c r="AG254" i="1"/>
  <c r="AG680" i="1"/>
  <c r="AG539" i="1"/>
  <c r="AG320" i="1"/>
  <c r="AG588" i="1"/>
  <c r="AG375" i="1"/>
  <c r="AG373" i="1"/>
  <c r="AG454" i="1"/>
  <c r="AG290" i="1"/>
  <c r="AG241" i="1"/>
  <c r="AG448" i="1"/>
  <c r="AG218" i="1"/>
  <c r="AG221" i="1"/>
  <c r="AG640" i="1"/>
  <c r="AG607" i="1"/>
  <c r="AG569" i="1"/>
  <c r="AG428" i="1"/>
  <c r="AG536" i="1"/>
  <c r="AG353" i="1"/>
  <c r="AG321" i="1"/>
  <c r="AG647" i="1"/>
  <c r="AG270" i="1"/>
  <c r="AG315" i="1"/>
  <c r="AG590" i="1"/>
  <c r="AG641" i="1"/>
  <c r="AG329" i="1"/>
  <c r="AG340" i="1"/>
  <c r="AG619" i="1"/>
  <c r="AG307" i="1"/>
  <c r="AG481" i="1"/>
  <c r="AG440" i="1"/>
  <c r="AG397" i="1"/>
  <c r="AG538" i="1"/>
  <c r="AG682" i="1"/>
  <c r="AG425" i="1"/>
  <c r="AG593" i="1"/>
  <c r="AG342" i="1"/>
  <c r="AG274" i="1"/>
  <c r="AG446" i="1"/>
  <c r="AG573" i="1"/>
  <c r="AG632" i="1"/>
  <c r="AG468" i="1"/>
  <c r="AG579" i="1"/>
  <c r="AG525" i="1"/>
  <c r="AG206" i="1"/>
  <c r="AG280" i="1"/>
  <c r="AG517" i="1"/>
  <c r="AG676" i="1"/>
  <c r="AG295" i="1"/>
  <c r="AG273" i="1"/>
  <c r="AG451" i="1"/>
  <c r="AG677" i="1"/>
  <c r="AG335" i="1"/>
  <c r="AG511" i="1"/>
  <c r="AG220" i="1"/>
  <c r="AG599" i="1"/>
  <c r="AG497" i="1"/>
  <c r="AG496" i="1"/>
  <c r="AG365" i="1"/>
  <c r="AG291" i="1"/>
  <c r="AG442" i="1"/>
  <c r="AG630" i="1"/>
  <c r="AG552" i="1"/>
  <c r="AG659" i="1"/>
  <c r="K12" i="6"/>
  <c r="AA185" i="1" l="1"/>
  <c r="AG190" i="1" l="1"/>
  <c r="AG202" i="1" l="1"/>
  <c r="AG188" i="1"/>
  <c r="AG196" i="1"/>
  <c r="AG186" i="1"/>
  <c r="AG192" i="1"/>
  <c r="AG194" i="1"/>
  <c r="AG198" i="1"/>
  <c r="AG200" i="1"/>
  <c r="AG187" i="1"/>
  <c r="AG189" i="1"/>
  <c r="AG191" i="1"/>
  <c r="AG193" i="1"/>
  <c r="AG195" i="1"/>
  <c r="AG197" i="1"/>
  <c r="AG199" i="1"/>
  <c r="AG201" i="1"/>
  <c r="AG165" i="1" l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G182" i="1"/>
  <c r="AG181" i="1"/>
  <c r="AG180" i="1"/>
  <c r="AG179" i="1"/>
  <c r="AG178" i="1"/>
  <c r="AG177" i="1"/>
  <c r="AG176" i="1"/>
  <c r="AG175" i="1"/>
  <c r="AG174" i="1"/>
  <c r="AG173" i="1"/>
  <c r="AG172" i="1"/>
  <c r="AG171" i="1"/>
  <c r="AG170" i="1"/>
  <c r="AG169" i="1"/>
  <c r="AG168" i="1"/>
  <c r="AG167" i="1"/>
  <c r="AG166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5" i="1"/>
  <c r="K31" i="6"/>
  <c r="K22" i="6"/>
  <c r="AG153" i="1" l="1"/>
  <c r="AG151" i="1"/>
  <c r="AG158" i="1"/>
  <c r="AG145" i="1"/>
  <c r="AG147" i="1"/>
  <c r="AG148" i="1"/>
  <c r="AG150" i="1"/>
  <c r="AG162" i="1"/>
  <c r="AG160" i="1"/>
  <c r="AG159" i="1"/>
  <c r="AG156" i="1"/>
  <c r="AG154" i="1"/>
  <c r="AG152" i="1"/>
  <c r="AG161" i="1"/>
  <c r="AG157" i="1"/>
  <c r="AG149" i="1"/>
  <c r="AG155" i="1"/>
  <c r="AG142" i="1"/>
  <c r="AG141" i="1"/>
  <c r="AG140" i="1"/>
  <c r="AG139" i="1"/>
  <c r="AG138" i="1"/>
  <c r="AG137" i="1"/>
  <c r="AG136" i="1"/>
  <c r="AG135" i="1"/>
  <c r="AG134" i="1"/>
  <c r="AG133" i="1"/>
  <c r="AG132" i="1"/>
  <c r="AG131" i="1"/>
  <c r="AG130" i="1"/>
  <c r="AG129" i="1"/>
  <c r="AG128" i="1"/>
  <c r="AG127" i="1"/>
  <c r="AG126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K32" i="6"/>
  <c r="K24" i="6" l="1"/>
  <c r="AG122" i="1"/>
  <c r="AG121" i="1"/>
  <c r="AG120" i="1"/>
  <c r="AG119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F102" i="1"/>
  <c r="AF101" i="1"/>
  <c r="AF100" i="1"/>
  <c r="AF99" i="1"/>
  <c r="AF98" i="1"/>
  <c r="AF97" i="1"/>
  <c r="AF96" i="1"/>
  <c r="AF95" i="1"/>
  <c r="AF94" i="1"/>
  <c r="AF93" i="1"/>
  <c r="AF92" i="1"/>
  <c r="AF91" i="1"/>
  <c r="AF90" i="1"/>
  <c r="AF89" i="1"/>
  <c r="AF88" i="1"/>
  <c r="AF87" i="1"/>
  <c r="AF86" i="1"/>
  <c r="AF85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K13" i="6"/>
  <c r="K23" i="6"/>
  <c r="AG85" i="1" l="1"/>
  <c r="AA85" i="1"/>
  <c r="AA66" i="1"/>
  <c r="AF65" i="1"/>
  <c r="AE65" i="1"/>
  <c r="AG102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K14" i="6"/>
  <c r="K33" i="6" l="1"/>
  <c r="K25" i="6"/>
  <c r="AG65" i="1"/>
  <c r="AF82" i="1"/>
  <c r="AF81" i="1"/>
  <c r="AF80" i="1"/>
  <c r="AF79" i="1"/>
  <c r="AF78" i="1"/>
  <c r="AF77" i="1"/>
  <c r="AF76" i="1"/>
  <c r="AF75" i="1"/>
  <c r="AF74" i="1"/>
  <c r="AF73" i="1"/>
  <c r="AF72" i="1"/>
  <c r="AF71" i="1"/>
  <c r="AF70" i="1"/>
  <c r="AF69" i="1"/>
  <c r="AF68" i="1"/>
  <c r="AF67" i="1"/>
  <c r="AF66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K15" i="6" l="1"/>
  <c r="K16" i="6"/>
  <c r="AA65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K34" i="6" l="1"/>
  <c r="AA67" i="1"/>
  <c r="AG82" i="1" l="1"/>
  <c r="AG81" i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F62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E62" i="1"/>
  <c r="AE61" i="1"/>
  <c r="AE60" i="1"/>
  <c r="AE59" i="1"/>
  <c r="AE58" i="1"/>
  <c r="AE57" i="1"/>
  <c r="AE45" i="1"/>
  <c r="AE56" i="1"/>
  <c r="AE55" i="1"/>
  <c r="AE54" i="1"/>
  <c r="AE53" i="1"/>
  <c r="AE52" i="1"/>
  <c r="AE51" i="1"/>
  <c r="AE50" i="1"/>
  <c r="AE49" i="1"/>
  <c r="AE48" i="1"/>
  <c r="AE47" i="1"/>
  <c r="AE46" i="1"/>
  <c r="AG45" i="1" l="1"/>
  <c r="AG59" i="1" l="1"/>
  <c r="AG58" i="1"/>
  <c r="AG54" i="1"/>
  <c r="AG51" i="1"/>
  <c r="AG49" i="1"/>
  <c r="AG48" i="1"/>
  <c r="AG47" i="1"/>
  <c r="AG46" i="1"/>
  <c r="AG57" i="1" l="1"/>
  <c r="AG53" i="1"/>
  <c r="AG52" i="1"/>
  <c r="AG60" i="1"/>
  <c r="AG50" i="1"/>
  <c r="AG56" i="1"/>
  <c r="AG62" i="1"/>
  <c r="AG55" i="1"/>
  <c r="AG61" i="1"/>
  <c r="R17" i="2" l="1"/>
  <c r="R18" i="2"/>
  <c r="R19" i="2"/>
  <c r="R20" i="2"/>
  <c r="R21" i="2"/>
  <c r="R22" i="2"/>
  <c r="R23" i="2"/>
  <c r="R24" i="2"/>
  <c r="R25" i="2"/>
  <c r="R49" i="2"/>
  <c r="R7" i="2"/>
  <c r="R8" i="2"/>
  <c r="R9" i="2"/>
  <c r="R10" i="2"/>
  <c r="R11" i="2"/>
  <c r="R12" i="2"/>
  <c r="R13" i="2"/>
  <c r="R14" i="2"/>
  <c r="R6" i="2"/>
  <c r="Q17" i="2"/>
  <c r="Q18" i="2"/>
  <c r="Q19" i="2"/>
  <c r="Q20" i="2"/>
  <c r="Q21" i="2"/>
  <c r="Q22" i="2"/>
  <c r="Q23" i="2"/>
  <c r="Q24" i="2"/>
  <c r="Q25" i="2"/>
  <c r="Q7" i="2"/>
  <c r="Q8" i="2"/>
  <c r="Q9" i="2"/>
  <c r="Q10" i="2"/>
  <c r="Q11" i="2"/>
  <c r="Q12" i="2"/>
  <c r="Q13" i="2"/>
  <c r="Q14" i="2"/>
  <c r="Q6" i="2"/>
  <c r="M17" i="2"/>
  <c r="M18" i="2"/>
  <c r="M19" i="2"/>
  <c r="M20" i="2"/>
  <c r="M21" i="2"/>
  <c r="M22" i="2"/>
  <c r="M23" i="2"/>
  <c r="M24" i="2"/>
  <c r="M25" i="2"/>
  <c r="M28" i="2"/>
  <c r="M29" i="2"/>
  <c r="M30" i="2"/>
  <c r="M31" i="2"/>
  <c r="M32" i="2"/>
  <c r="M33" i="2"/>
  <c r="M34" i="2"/>
  <c r="M35" i="2"/>
  <c r="M36" i="2"/>
  <c r="M39" i="2"/>
  <c r="M40" i="2"/>
  <c r="M41" i="2"/>
  <c r="M42" i="2"/>
  <c r="M43" i="2"/>
  <c r="M44" i="2"/>
  <c r="M45" i="2"/>
  <c r="M46" i="2"/>
  <c r="M47" i="2"/>
  <c r="M50" i="2"/>
  <c r="M51" i="2"/>
  <c r="M52" i="2"/>
  <c r="M53" i="2"/>
  <c r="M54" i="2"/>
  <c r="M55" i="2"/>
  <c r="M56" i="2"/>
  <c r="M57" i="2"/>
  <c r="M58" i="2"/>
  <c r="M7" i="2"/>
  <c r="M8" i="2"/>
  <c r="M9" i="2"/>
  <c r="M10" i="2"/>
  <c r="M11" i="2"/>
  <c r="M12" i="2"/>
  <c r="M13" i="2"/>
  <c r="M14" i="2"/>
  <c r="M6" i="2"/>
  <c r="L17" i="2"/>
  <c r="L18" i="2"/>
  <c r="L19" i="2"/>
  <c r="L20" i="2"/>
  <c r="L21" i="2"/>
  <c r="L22" i="2"/>
  <c r="L23" i="2"/>
  <c r="L24" i="2"/>
  <c r="L25" i="2"/>
  <c r="L28" i="2"/>
  <c r="L29" i="2"/>
  <c r="L30" i="2"/>
  <c r="L31" i="2"/>
  <c r="L32" i="2"/>
  <c r="L33" i="2"/>
  <c r="L34" i="2"/>
  <c r="L35" i="2"/>
  <c r="L36" i="2"/>
  <c r="L39" i="2"/>
  <c r="L40" i="2"/>
  <c r="L41" i="2"/>
  <c r="L42" i="2"/>
  <c r="L43" i="2"/>
  <c r="L44" i="2"/>
  <c r="L45" i="2"/>
  <c r="L46" i="2"/>
  <c r="L47" i="2"/>
  <c r="L50" i="2"/>
  <c r="L51" i="2"/>
  <c r="L52" i="2"/>
  <c r="L53" i="2"/>
  <c r="L54" i="2"/>
  <c r="L55" i="2"/>
  <c r="L56" i="2"/>
  <c r="L57" i="2"/>
  <c r="L58" i="2"/>
  <c r="L7" i="2"/>
  <c r="L8" i="2"/>
  <c r="L9" i="2"/>
  <c r="L10" i="2"/>
  <c r="L11" i="2"/>
  <c r="L12" i="2"/>
  <c r="L13" i="2"/>
  <c r="L14" i="2"/>
  <c r="L6" i="2"/>
  <c r="H17" i="2"/>
  <c r="H18" i="2"/>
  <c r="H19" i="2"/>
  <c r="H20" i="2"/>
  <c r="H21" i="2"/>
  <c r="H22" i="2"/>
  <c r="H23" i="2"/>
  <c r="H24" i="2"/>
  <c r="H25" i="2"/>
  <c r="H28" i="2"/>
  <c r="H29" i="2"/>
  <c r="H30" i="2"/>
  <c r="H31" i="2"/>
  <c r="H32" i="2"/>
  <c r="H33" i="2"/>
  <c r="H34" i="2"/>
  <c r="H35" i="2"/>
  <c r="H36" i="2"/>
  <c r="H39" i="2"/>
  <c r="H40" i="2"/>
  <c r="H41" i="2"/>
  <c r="H42" i="2"/>
  <c r="H43" i="2"/>
  <c r="H44" i="2"/>
  <c r="H45" i="2"/>
  <c r="H46" i="2"/>
  <c r="H47" i="2"/>
  <c r="H50" i="2"/>
  <c r="H51" i="2"/>
  <c r="H52" i="2"/>
  <c r="H53" i="2"/>
  <c r="H54" i="2"/>
  <c r="H55" i="2"/>
  <c r="H56" i="2"/>
  <c r="H57" i="2"/>
  <c r="H58" i="2"/>
  <c r="H7" i="2"/>
  <c r="H8" i="2"/>
  <c r="H9" i="2"/>
  <c r="H10" i="2"/>
  <c r="H11" i="2"/>
  <c r="H12" i="2"/>
  <c r="H13" i="2"/>
  <c r="H14" i="2"/>
  <c r="H6" i="2"/>
  <c r="G17" i="2"/>
  <c r="G18" i="2"/>
  <c r="G19" i="2"/>
  <c r="G20" i="2"/>
  <c r="G21" i="2"/>
  <c r="G22" i="2"/>
  <c r="G23" i="2"/>
  <c r="G24" i="2"/>
  <c r="G25" i="2"/>
  <c r="G28" i="2"/>
  <c r="G29" i="2"/>
  <c r="G30" i="2"/>
  <c r="G31" i="2"/>
  <c r="G32" i="2"/>
  <c r="G33" i="2"/>
  <c r="G34" i="2"/>
  <c r="G35" i="2"/>
  <c r="G36" i="2"/>
  <c r="G39" i="2"/>
  <c r="G40" i="2"/>
  <c r="G41" i="2"/>
  <c r="G42" i="2"/>
  <c r="G43" i="2"/>
  <c r="G44" i="2"/>
  <c r="G45" i="2"/>
  <c r="G46" i="2"/>
  <c r="G47" i="2"/>
  <c r="G50" i="2"/>
  <c r="G51" i="2"/>
  <c r="G52" i="2"/>
  <c r="G53" i="2"/>
  <c r="G54" i="2"/>
  <c r="G55" i="2"/>
  <c r="G56" i="2"/>
  <c r="G57" i="2"/>
  <c r="G58" i="2"/>
  <c r="G7" i="2"/>
  <c r="G8" i="2"/>
  <c r="G9" i="2"/>
  <c r="G10" i="2"/>
  <c r="G11" i="2"/>
  <c r="G12" i="2"/>
  <c r="G13" i="2"/>
  <c r="G14" i="2"/>
  <c r="G6" i="2"/>
  <c r="C17" i="2"/>
  <c r="C18" i="2"/>
  <c r="C19" i="2"/>
  <c r="C20" i="2"/>
  <c r="C21" i="2"/>
  <c r="C22" i="2"/>
  <c r="C23" i="2"/>
  <c r="C24" i="2"/>
  <c r="C25" i="2"/>
  <c r="C28" i="2"/>
  <c r="C29" i="2"/>
  <c r="C30" i="2"/>
  <c r="C31" i="2"/>
  <c r="C32" i="2"/>
  <c r="C33" i="2"/>
  <c r="C34" i="2"/>
  <c r="C35" i="2"/>
  <c r="C36" i="2"/>
  <c r="C39" i="2"/>
  <c r="C40" i="2"/>
  <c r="C41" i="2"/>
  <c r="C42" i="2"/>
  <c r="C43" i="2"/>
  <c r="C44" i="2"/>
  <c r="C45" i="2"/>
  <c r="C46" i="2"/>
  <c r="C47" i="2"/>
  <c r="C50" i="2"/>
  <c r="C51" i="2"/>
  <c r="C52" i="2"/>
  <c r="C53" i="2"/>
  <c r="C54" i="2"/>
  <c r="C55" i="2"/>
  <c r="C56" i="2"/>
  <c r="C57" i="2"/>
  <c r="C58" i="2"/>
  <c r="C9" i="2"/>
  <c r="C10" i="2"/>
  <c r="C11" i="2"/>
  <c r="C12" i="2"/>
  <c r="C13" i="2"/>
  <c r="C14" i="2"/>
  <c r="B17" i="2"/>
  <c r="B18" i="2"/>
  <c r="B19" i="2"/>
  <c r="B20" i="2"/>
  <c r="B21" i="2"/>
  <c r="B22" i="2"/>
  <c r="B23" i="2"/>
  <c r="B24" i="2"/>
  <c r="B25" i="2"/>
  <c r="B28" i="2"/>
  <c r="B29" i="2"/>
  <c r="B30" i="2"/>
  <c r="B31" i="2"/>
  <c r="B32" i="2"/>
  <c r="B33" i="2"/>
  <c r="B34" i="2"/>
  <c r="B35" i="2"/>
  <c r="B36" i="2"/>
  <c r="B39" i="2"/>
  <c r="B40" i="2"/>
  <c r="B41" i="2"/>
  <c r="B42" i="2"/>
  <c r="B43" i="2"/>
  <c r="B44" i="2"/>
  <c r="B45" i="2"/>
  <c r="B46" i="2"/>
  <c r="B47" i="2"/>
  <c r="B50" i="2"/>
  <c r="B51" i="2"/>
  <c r="B52" i="2"/>
  <c r="B53" i="2"/>
  <c r="B54" i="2"/>
  <c r="B55" i="2"/>
  <c r="B56" i="2"/>
  <c r="B57" i="2"/>
  <c r="B58" i="2"/>
  <c r="B9" i="2"/>
  <c r="B10" i="2"/>
  <c r="B11" i="2"/>
  <c r="B12" i="2"/>
  <c r="B13" i="2"/>
  <c r="B14" i="2"/>
  <c r="M375" i="1" l="1"/>
  <c r="P375" i="1" s="1"/>
  <c r="B375" i="1"/>
  <c r="O375" i="1" s="1"/>
  <c r="M374" i="1"/>
  <c r="P374" i="1" s="1"/>
  <c r="B374" i="1"/>
  <c r="O374" i="1" s="1"/>
  <c r="M373" i="1"/>
  <c r="P373" i="1" s="1"/>
  <c r="B373" i="1"/>
  <c r="O373" i="1" s="1"/>
  <c r="M372" i="1"/>
  <c r="P372" i="1" s="1"/>
  <c r="B372" i="1"/>
  <c r="O372" i="1" s="1"/>
  <c r="M371" i="1"/>
  <c r="P371" i="1" s="1"/>
  <c r="B371" i="1"/>
  <c r="O371" i="1" s="1"/>
  <c r="M370" i="1"/>
  <c r="P370" i="1" s="1"/>
  <c r="B370" i="1"/>
  <c r="O370" i="1" s="1"/>
  <c r="M369" i="1"/>
  <c r="P369" i="1" s="1"/>
  <c r="B369" i="1"/>
  <c r="O369" i="1" s="1"/>
  <c r="M368" i="1"/>
  <c r="P368" i="1" s="1"/>
  <c r="B368" i="1"/>
  <c r="O368" i="1" s="1"/>
  <c r="M367" i="1"/>
  <c r="P367" i="1" s="1"/>
  <c r="B367" i="1"/>
  <c r="O367" i="1" s="1"/>
  <c r="B366" i="1"/>
  <c r="O366" i="1" s="1"/>
  <c r="M364" i="1"/>
  <c r="P364" i="1" s="1"/>
  <c r="B364" i="1"/>
  <c r="O364" i="1" s="1"/>
  <c r="M363" i="1"/>
  <c r="P363" i="1" s="1"/>
  <c r="B363" i="1"/>
  <c r="O363" i="1" s="1"/>
  <c r="M362" i="1"/>
  <c r="P362" i="1" s="1"/>
  <c r="B362" i="1"/>
  <c r="O362" i="1" s="1"/>
  <c r="M361" i="1"/>
  <c r="P361" i="1" s="1"/>
  <c r="B361" i="1"/>
  <c r="O361" i="1" s="1"/>
  <c r="M360" i="1"/>
  <c r="P360" i="1" s="1"/>
  <c r="B360" i="1"/>
  <c r="O360" i="1" s="1"/>
  <c r="M359" i="1"/>
  <c r="P359" i="1" s="1"/>
  <c r="B359" i="1"/>
  <c r="O359" i="1" s="1"/>
  <c r="M358" i="1"/>
  <c r="P358" i="1" s="1"/>
  <c r="B358" i="1"/>
  <c r="O358" i="1" s="1"/>
  <c r="M357" i="1"/>
  <c r="P357" i="1" s="1"/>
  <c r="B357" i="1"/>
  <c r="O357" i="1" s="1"/>
  <c r="M356" i="1"/>
  <c r="P356" i="1" s="1"/>
  <c r="B356" i="1"/>
  <c r="O356" i="1" s="1"/>
  <c r="M355" i="1"/>
  <c r="P355" i="1" s="1"/>
  <c r="B355" i="1"/>
  <c r="O355" i="1" s="1"/>
  <c r="M353" i="1"/>
  <c r="P353" i="1" s="1"/>
  <c r="B353" i="1"/>
  <c r="O353" i="1" s="1"/>
  <c r="M352" i="1"/>
  <c r="P352" i="1" s="1"/>
  <c r="B352" i="1"/>
  <c r="O352" i="1" s="1"/>
  <c r="M351" i="1"/>
  <c r="P351" i="1" s="1"/>
  <c r="B351" i="1"/>
  <c r="O351" i="1" s="1"/>
  <c r="M350" i="1"/>
  <c r="P350" i="1" s="1"/>
  <c r="B350" i="1"/>
  <c r="O350" i="1" s="1"/>
  <c r="M349" i="1"/>
  <c r="P349" i="1" s="1"/>
  <c r="B349" i="1"/>
  <c r="O349" i="1" s="1"/>
  <c r="M348" i="1"/>
  <c r="P348" i="1" s="1"/>
  <c r="B348" i="1"/>
  <c r="O348" i="1" s="1"/>
  <c r="M347" i="1"/>
  <c r="P347" i="1" s="1"/>
  <c r="B347" i="1"/>
  <c r="O347" i="1" s="1"/>
  <c r="M346" i="1"/>
  <c r="P346" i="1" s="1"/>
  <c r="B346" i="1"/>
  <c r="O346" i="1" s="1"/>
  <c r="M345" i="1"/>
  <c r="P345" i="1" s="1"/>
  <c r="B345" i="1"/>
  <c r="O345" i="1" s="1"/>
  <c r="M344" i="1"/>
  <c r="P344" i="1" s="1"/>
  <c r="B344" i="1"/>
  <c r="O344" i="1" s="1"/>
  <c r="M342" i="1"/>
  <c r="P342" i="1" s="1"/>
  <c r="B342" i="1"/>
  <c r="O342" i="1" s="1"/>
  <c r="M341" i="1"/>
  <c r="P341" i="1" s="1"/>
  <c r="B341" i="1"/>
  <c r="O341" i="1" s="1"/>
  <c r="M340" i="1"/>
  <c r="P340" i="1" s="1"/>
  <c r="B340" i="1"/>
  <c r="O340" i="1" s="1"/>
  <c r="M339" i="1"/>
  <c r="P339" i="1" s="1"/>
  <c r="B339" i="1"/>
  <c r="O339" i="1" s="1"/>
  <c r="M338" i="1"/>
  <c r="P338" i="1" s="1"/>
  <c r="B338" i="1"/>
  <c r="O338" i="1" s="1"/>
  <c r="M337" i="1"/>
  <c r="P337" i="1" s="1"/>
  <c r="B337" i="1"/>
  <c r="O337" i="1" s="1"/>
  <c r="M336" i="1"/>
  <c r="P336" i="1" s="1"/>
  <c r="B336" i="1"/>
  <c r="O336" i="1" s="1"/>
  <c r="M335" i="1"/>
  <c r="P335" i="1" s="1"/>
  <c r="B335" i="1"/>
  <c r="O335" i="1" s="1"/>
  <c r="M334" i="1"/>
  <c r="P334" i="1" s="1"/>
  <c r="B334" i="1"/>
  <c r="O334" i="1" s="1"/>
  <c r="M333" i="1"/>
  <c r="P333" i="1" s="1"/>
  <c r="B333" i="1"/>
  <c r="O333" i="1" s="1"/>
  <c r="M331" i="1"/>
  <c r="P331" i="1" s="1"/>
  <c r="B331" i="1"/>
  <c r="O331" i="1" s="1"/>
  <c r="M330" i="1"/>
  <c r="P330" i="1" s="1"/>
  <c r="B330" i="1"/>
  <c r="O330" i="1" s="1"/>
  <c r="M329" i="1"/>
  <c r="P329" i="1" s="1"/>
  <c r="B329" i="1"/>
  <c r="O329" i="1" s="1"/>
  <c r="M328" i="1"/>
  <c r="P328" i="1" s="1"/>
  <c r="B328" i="1"/>
  <c r="O328" i="1" s="1"/>
  <c r="M327" i="1"/>
  <c r="P327" i="1" s="1"/>
  <c r="B327" i="1"/>
  <c r="O327" i="1" s="1"/>
  <c r="M326" i="1"/>
  <c r="P326" i="1" s="1"/>
  <c r="B326" i="1"/>
  <c r="O326" i="1" s="1"/>
  <c r="M325" i="1"/>
  <c r="P325" i="1" s="1"/>
  <c r="B325" i="1"/>
  <c r="O325" i="1" s="1"/>
  <c r="M324" i="1"/>
  <c r="P324" i="1" s="1"/>
  <c r="B324" i="1"/>
  <c r="O324" i="1" s="1"/>
  <c r="M323" i="1"/>
  <c r="P323" i="1" s="1"/>
  <c r="B323" i="1"/>
  <c r="O323" i="1" s="1"/>
  <c r="M322" i="1"/>
  <c r="P322" i="1" s="1"/>
  <c r="B322" i="1"/>
  <c r="O322" i="1" s="1"/>
  <c r="M320" i="1"/>
  <c r="P320" i="1" s="1"/>
  <c r="B320" i="1"/>
  <c r="O320" i="1" s="1"/>
  <c r="M319" i="1"/>
  <c r="P319" i="1" s="1"/>
  <c r="B319" i="1"/>
  <c r="O319" i="1" s="1"/>
  <c r="M318" i="1"/>
  <c r="P318" i="1" s="1"/>
  <c r="B318" i="1"/>
  <c r="O318" i="1" s="1"/>
  <c r="M317" i="1"/>
  <c r="P317" i="1" s="1"/>
  <c r="B317" i="1"/>
  <c r="O317" i="1" s="1"/>
  <c r="M316" i="1"/>
  <c r="P316" i="1" s="1"/>
  <c r="B316" i="1"/>
  <c r="O316" i="1" s="1"/>
  <c r="M315" i="1"/>
  <c r="P315" i="1" s="1"/>
  <c r="B315" i="1"/>
  <c r="O315" i="1" s="1"/>
  <c r="M314" i="1"/>
  <c r="P314" i="1" s="1"/>
  <c r="B314" i="1"/>
  <c r="O314" i="1" s="1"/>
  <c r="M313" i="1"/>
  <c r="P313" i="1" s="1"/>
  <c r="B313" i="1"/>
  <c r="O313" i="1" s="1"/>
  <c r="M312" i="1"/>
  <c r="P312" i="1" s="1"/>
  <c r="B312" i="1"/>
  <c r="O312" i="1" s="1"/>
  <c r="M311" i="1"/>
  <c r="P311" i="1" s="1"/>
  <c r="B311" i="1"/>
  <c r="O311" i="1" s="1"/>
  <c r="M309" i="1"/>
  <c r="P309" i="1" s="1"/>
  <c r="B309" i="1"/>
  <c r="O309" i="1" s="1"/>
  <c r="M308" i="1"/>
  <c r="P308" i="1" s="1"/>
  <c r="B308" i="1"/>
  <c r="O308" i="1" s="1"/>
  <c r="M307" i="1"/>
  <c r="P307" i="1" s="1"/>
  <c r="B307" i="1"/>
  <c r="O307" i="1" s="1"/>
  <c r="M306" i="1"/>
  <c r="P306" i="1" s="1"/>
  <c r="B306" i="1"/>
  <c r="O306" i="1" s="1"/>
  <c r="M305" i="1"/>
  <c r="P305" i="1" s="1"/>
  <c r="B305" i="1"/>
  <c r="O305" i="1" s="1"/>
  <c r="M304" i="1"/>
  <c r="P304" i="1" s="1"/>
  <c r="B304" i="1"/>
  <c r="O304" i="1" s="1"/>
  <c r="M303" i="1"/>
  <c r="P303" i="1" s="1"/>
  <c r="B303" i="1"/>
  <c r="O303" i="1" s="1"/>
  <c r="M302" i="1"/>
  <c r="P302" i="1" s="1"/>
  <c r="B302" i="1"/>
  <c r="O302" i="1" s="1"/>
  <c r="M301" i="1"/>
  <c r="P301" i="1" s="1"/>
  <c r="B301" i="1"/>
  <c r="O301" i="1" s="1"/>
  <c r="M300" i="1"/>
  <c r="P300" i="1" s="1"/>
  <c r="B300" i="1"/>
  <c r="O300" i="1" s="1"/>
  <c r="M298" i="1"/>
  <c r="P298" i="1" s="1"/>
  <c r="B298" i="1"/>
  <c r="O298" i="1" s="1"/>
  <c r="M297" i="1"/>
  <c r="P297" i="1" s="1"/>
  <c r="B297" i="1"/>
  <c r="O297" i="1" s="1"/>
  <c r="M296" i="1"/>
  <c r="P296" i="1" s="1"/>
  <c r="B296" i="1"/>
  <c r="O296" i="1" s="1"/>
  <c r="M295" i="1"/>
  <c r="P295" i="1" s="1"/>
  <c r="B295" i="1"/>
  <c r="O295" i="1" s="1"/>
  <c r="M294" i="1"/>
  <c r="P294" i="1" s="1"/>
  <c r="B294" i="1"/>
  <c r="O294" i="1" s="1"/>
  <c r="M293" i="1"/>
  <c r="P293" i="1" s="1"/>
  <c r="B293" i="1"/>
  <c r="O293" i="1" s="1"/>
  <c r="M292" i="1"/>
  <c r="P292" i="1" s="1"/>
  <c r="B292" i="1"/>
  <c r="O292" i="1" s="1"/>
  <c r="M291" i="1"/>
  <c r="P291" i="1" s="1"/>
  <c r="B291" i="1"/>
  <c r="O291" i="1" s="1"/>
  <c r="M290" i="1"/>
  <c r="P290" i="1" s="1"/>
  <c r="B290" i="1"/>
  <c r="O290" i="1" s="1"/>
  <c r="M289" i="1"/>
  <c r="P289" i="1" s="1"/>
  <c r="B289" i="1"/>
  <c r="O289" i="1" s="1"/>
  <c r="M287" i="1"/>
  <c r="P287" i="1" s="1"/>
  <c r="B287" i="1"/>
  <c r="O287" i="1" s="1"/>
  <c r="M286" i="1"/>
  <c r="P286" i="1" s="1"/>
  <c r="B286" i="1"/>
  <c r="O286" i="1" s="1"/>
  <c r="M285" i="1"/>
  <c r="P285" i="1" s="1"/>
  <c r="B285" i="1"/>
  <c r="O285" i="1" s="1"/>
  <c r="M284" i="1"/>
  <c r="P284" i="1" s="1"/>
  <c r="B284" i="1"/>
  <c r="O284" i="1" s="1"/>
  <c r="M283" i="1"/>
  <c r="P283" i="1" s="1"/>
  <c r="B283" i="1"/>
  <c r="O283" i="1" s="1"/>
  <c r="M282" i="1"/>
  <c r="P282" i="1" s="1"/>
  <c r="B282" i="1"/>
  <c r="O282" i="1" s="1"/>
  <c r="M281" i="1"/>
  <c r="P281" i="1" s="1"/>
  <c r="B281" i="1"/>
  <c r="O281" i="1" s="1"/>
  <c r="M280" i="1"/>
  <c r="P280" i="1" s="1"/>
  <c r="B280" i="1"/>
  <c r="O280" i="1" s="1"/>
  <c r="M279" i="1"/>
  <c r="P279" i="1" s="1"/>
  <c r="B279" i="1"/>
  <c r="O279" i="1" s="1"/>
  <c r="M278" i="1"/>
  <c r="P278" i="1" s="1"/>
  <c r="B278" i="1"/>
  <c r="O278" i="1" s="1"/>
  <c r="M276" i="1"/>
  <c r="P276" i="1" s="1"/>
  <c r="B276" i="1"/>
  <c r="O276" i="1" s="1"/>
  <c r="M275" i="1"/>
  <c r="P275" i="1" s="1"/>
  <c r="B275" i="1"/>
  <c r="O275" i="1" s="1"/>
  <c r="M274" i="1"/>
  <c r="P274" i="1" s="1"/>
  <c r="B274" i="1"/>
  <c r="O274" i="1" s="1"/>
  <c r="M273" i="1"/>
  <c r="P273" i="1" s="1"/>
  <c r="B273" i="1"/>
  <c r="O273" i="1" s="1"/>
  <c r="M272" i="1"/>
  <c r="P272" i="1" s="1"/>
  <c r="B272" i="1"/>
  <c r="O272" i="1" s="1"/>
  <c r="M271" i="1"/>
  <c r="P271" i="1" s="1"/>
  <c r="B271" i="1"/>
  <c r="O271" i="1" s="1"/>
  <c r="M270" i="1"/>
  <c r="P270" i="1" s="1"/>
  <c r="B270" i="1"/>
  <c r="O270" i="1" s="1"/>
  <c r="M269" i="1"/>
  <c r="P269" i="1" s="1"/>
  <c r="B269" i="1"/>
  <c r="O269" i="1" s="1"/>
  <c r="M268" i="1"/>
  <c r="P268" i="1" s="1"/>
  <c r="B268" i="1"/>
  <c r="O268" i="1" s="1"/>
  <c r="M267" i="1"/>
  <c r="P267" i="1" s="1"/>
  <c r="B267" i="1"/>
  <c r="O267" i="1" s="1"/>
  <c r="M265" i="1"/>
  <c r="P265" i="1" s="1"/>
  <c r="B265" i="1"/>
  <c r="O265" i="1" s="1"/>
  <c r="M264" i="1"/>
  <c r="P264" i="1" s="1"/>
  <c r="B264" i="1"/>
  <c r="O264" i="1" s="1"/>
  <c r="M263" i="1"/>
  <c r="P263" i="1" s="1"/>
  <c r="B263" i="1"/>
  <c r="O263" i="1" s="1"/>
  <c r="M262" i="1"/>
  <c r="P262" i="1" s="1"/>
  <c r="B262" i="1"/>
  <c r="O262" i="1" s="1"/>
  <c r="M261" i="1"/>
  <c r="P261" i="1" s="1"/>
  <c r="B261" i="1"/>
  <c r="O261" i="1" s="1"/>
  <c r="M260" i="1"/>
  <c r="P260" i="1" s="1"/>
  <c r="B260" i="1"/>
  <c r="O260" i="1" s="1"/>
  <c r="M259" i="1"/>
  <c r="P259" i="1" s="1"/>
  <c r="B259" i="1"/>
  <c r="O259" i="1" s="1"/>
  <c r="M258" i="1"/>
  <c r="P258" i="1" s="1"/>
  <c r="B258" i="1"/>
  <c r="O258" i="1" s="1"/>
  <c r="M257" i="1"/>
  <c r="P257" i="1" s="1"/>
  <c r="B257" i="1"/>
  <c r="O257" i="1" s="1"/>
  <c r="M256" i="1"/>
  <c r="P256" i="1" s="1"/>
  <c r="B256" i="1"/>
  <c r="O256" i="1" s="1"/>
  <c r="M254" i="1"/>
  <c r="P254" i="1" s="1"/>
  <c r="B254" i="1"/>
  <c r="O254" i="1" s="1"/>
  <c r="M253" i="1"/>
  <c r="P253" i="1" s="1"/>
  <c r="B253" i="1"/>
  <c r="O253" i="1" s="1"/>
  <c r="M252" i="1"/>
  <c r="P252" i="1" s="1"/>
  <c r="B252" i="1"/>
  <c r="O252" i="1" s="1"/>
  <c r="M251" i="1"/>
  <c r="P251" i="1" s="1"/>
  <c r="B251" i="1"/>
  <c r="O251" i="1" s="1"/>
  <c r="M250" i="1"/>
  <c r="P250" i="1" s="1"/>
  <c r="B250" i="1"/>
  <c r="O250" i="1" s="1"/>
  <c r="M249" i="1"/>
  <c r="P249" i="1" s="1"/>
  <c r="B249" i="1"/>
  <c r="O249" i="1" s="1"/>
  <c r="M248" i="1"/>
  <c r="P248" i="1" s="1"/>
  <c r="B248" i="1"/>
  <c r="O248" i="1" s="1"/>
  <c r="M247" i="1"/>
  <c r="P247" i="1" s="1"/>
  <c r="B247" i="1"/>
  <c r="O247" i="1" s="1"/>
  <c r="M246" i="1"/>
  <c r="P246" i="1" s="1"/>
  <c r="B246" i="1"/>
  <c r="O246" i="1" s="1"/>
  <c r="M245" i="1"/>
  <c r="P245" i="1" s="1"/>
  <c r="B245" i="1"/>
  <c r="O245" i="1" s="1"/>
  <c r="M243" i="1"/>
  <c r="P243" i="1" s="1"/>
  <c r="B243" i="1"/>
  <c r="O243" i="1" s="1"/>
  <c r="M242" i="1"/>
  <c r="P242" i="1" s="1"/>
  <c r="B242" i="1"/>
  <c r="O242" i="1" s="1"/>
  <c r="M241" i="1"/>
  <c r="P241" i="1" s="1"/>
  <c r="B241" i="1"/>
  <c r="O241" i="1" s="1"/>
  <c r="M240" i="1"/>
  <c r="P240" i="1" s="1"/>
  <c r="B240" i="1"/>
  <c r="O240" i="1" s="1"/>
  <c r="M239" i="1"/>
  <c r="P239" i="1" s="1"/>
  <c r="B239" i="1"/>
  <c r="O239" i="1" s="1"/>
  <c r="M238" i="1"/>
  <c r="P238" i="1" s="1"/>
  <c r="B238" i="1"/>
  <c r="O238" i="1" s="1"/>
  <c r="M237" i="1"/>
  <c r="P237" i="1" s="1"/>
  <c r="B237" i="1"/>
  <c r="O237" i="1" s="1"/>
  <c r="M236" i="1"/>
  <c r="P236" i="1" s="1"/>
  <c r="B236" i="1"/>
  <c r="O236" i="1" s="1"/>
  <c r="M235" i="1"/>
  <c r="P235" i="1" s="1"/>
  <c r="B235" i="1"/>
  <c r="O235" i="1" s="1"/>
  <c r="M234" i="1"/>
  <c r="P234" i="1" s="1"/>
  <c r="B234" i="1"/>
  <c r="O234" i="1" s="1"/>
  <c r="M232" i="1"/>
  <c r="P232" i="1" s="1"/>
  <c r="B232" i="1"/>
  <c r="O232" i="1" s="1"/>
  <c r="M231" i="1"/>
  <c r="P231" i="1" s="1"/>
  <c r="B231" i="1"/>
  <c r="O231" i="1" s="1"/>
  <c r="M230" i="1"/>
  <c r="P230" i="1" s="1"/>
  <c r="B230" i="1"/>
  <c r="O230" i="1" s="1"/>
  <c r="M229" i="1"/>
  <c r="P229" i="1" s="1"/>
  <c r="B229" i="1"/>
  <c r="O229" i="1" s="1"/>
  <c r="M228" i="1"/>
  <c r="P228" i="1" s="1"/>
  <c r="B228" i="1"/>
  <c r="O228" i="1" s="1"/>
  <c r="M227" i="1"/>
  <c r="P227" i="1" s="1"/>
  <c r="B227" i="1"/>
  <c r="O227" i="1" s="1"/>
  <c r="M226" i="1"/>
  <c r="P226" i="1" s="1"/>
  <c r="B226" i="1"/>
  <c r="O226" i="1" s="1"/>
  <c r="M225" i="1"/>
  <c r="P225" i="1" s="1"/>
  <c r="B225" i="1"/>
  <c r="O225" i="1" s="1"/>
  <c r="M224" i="1"/>
  <c r="P224" i="1" s="1"/>
  <c r="B224" i="1"/>
  <c r="O224" i="1" s="1"/>
  <c r="M223" i="1"/>
  <c r="P223" i="1" s="1"/>
  <c r="B223" i="1"/>
  <c r="O223" i="1" s="1"/>
  <c r="M221" i="1"/>
  <c r="P221" i="1" s="1"/>
  <c r="B221" i="1"/>
  <c r="O221" i="1" s="1"/>
  <c r="M220" i="1"/>
  <c r="P220" i="1" s="1"/>
  <c r="B220" i="1"/>
  <c r="O220" i="1" s="1"/>
  <c r="M219" i="1"/>
  <c r="P219" i="1" s="1"/>
  <c r="B219" i="1"/>
  <c r="O219" i="1" s="1"/>
  <c r="M218" i="1"/>
  <c r="P218" i="1" s="1"/>
  <c r="B218" i="1"/>
  <c r="O218" i="1" s="1"/>
  <c r="M217" i="1"/>
  <c r="P217" i="1" s="1"/>
  <c r="B217" i="1"/>
  <c r="O217" i="1" s="1"/>
  <c r="M216" i="1"/>
  <c r="P216" i="1" s="1"/>
  <c r="B216" i="1"/>
  <c r="O216" i="1" s="1"/>
  <c r="M215" i="1"/>
  <c r="P215" i="1" s="1"/>
  <c r="B215" i="1"/>
  <c r="O215" i="1" s="1"/>
  <c r="M214" i="1"/>
  <c r="P214" i="1" s="1"/>
  <c r="B214" i="1"/>
  <c r="O214" i="1" s="1"/>
  <c r="M213" i="1"/>
  <c r="P213" i="1" s="1"/>
  <c r="B213" i="1"/>
  <c r="O213" i="1" s="1"/>
  <c r="M212" i="1"/>
  <c r="P212" i="1" s="1"/>
  <c r="B212" i="1"/>
  <c r="O212" i="1" s="1"/>
  <c r="M210" i="1"/>
  <c r="P210" i="1" s="1"/>
  <c r="B210" i="1"/>
  <c r="O210" i="1" s="1"/>
  <c r="M209" i="1"/>
  <c r="P209" i="1" s="1"/>
  <c r="B209" i="1"/>
  <c r="O209" i="1" s="1"/>
  <c r="M208" i="1"/>
  <c r="P208" i="1" s="1"/>
  <c r="B208" i="1"/>
  <c r="O208" i="1" s="1"/>
  <c r="M207" i="1"/>
  <c r="B207" i="1"/>
  <c r="O207" i="1" s="1"/>
  <c r="M206" i="1"/>
  <c r="P206" i="1" s="1"/>
  <c r="B206" i="1"/>
  <c r="O206" i="1" s="1"/>
  <c r="M205" i="1"/>
  <c r="P205" i="1" s="1"/>
  <c r="B205" i="1"/>
  <c r="O205" i="1" s="1"/>
  <c r="M204" i="1"/>
  <c r="P204" i="1" s="1"/>
  <c r="B204" i="1"/>
  <c r="O204" i="1" s="1"/>
  <c r="M203" i="1"/>
  <c r="P203" i="1" s="1"/>
  <c r="B203" i="1"/>
  <c r="O203" i="1" s="1"/>
  <c r="M202" i="1"/>
  <c r="P202" i="1" s="1"/>
  <c r="B202" i="1"/>
  <c r="O202" i="1" s="1"/>
  <c r="M201" i="1"/>
  <c r="P201" i="1" s="1"/>
  <c r="B201" i="1"/>
  <c r="O201" i="1" s="1"/>
  <c r="M199" i="1"/>
  <c r="P199" i="1" s="1"/>
  <c r="B199" i="1"/>
  <c r="O199" i="1" s="1"/>
  <c r="M198" i="1"/>
  <c r="P198" i="1" s="1"/>
  <c r="B198" i="1"/>
  <c r="O198" i="1" s="1"/>
  <c r="M197" i="1"/>
  <c r="P197" i="1" s="1"/>
  <c r="B197" i="1"/>
  <c r="O197" i="1" s="1"/>
  <c r="M196" i="1"/>
  <c r="P196" i="1" s="1"/>
  <c r="B196" i="1"/>
  <c r="O196" i="1" s="1"/>
  <c r="M195" i="1"/>
  <c r="P195" i="1" s="1"/>
  <c r="B195" i="1"/>
  <c r="O195" i="1" s="1"/>
  <c r="M194" i="1"/>
  <c r="P194" i="1" s="1"/>
  <c r="B194" i="1"/>
  <c r="O194" i="1" s="1"/>
  <c r="M193" i="1"/>
  <c r="P193" i="1" s="1"/>
  <c r="B193" i="1"/>
  <c r="O193" i="1" s="1"/>
  <c r="M192" i="1"/>
  <c r="P192" i="1" s="1"/>
  <c r="B192" i="1"/>
  <c r="O192" i="1" s="1"/>
  <c r="M191" i="1"/>
  <c r="P191" i="1" s="1"/>
  <c r="B191" i="1"/>
  <c r="O191" i="1" s="1"/>
  <c r="M190" i="1"/>
  <c r="P190" i="1" s="1"/>
  <c r="B190" i="1"/>
  <c r="O190" i="1" s="1"/>
  <c r="M188" i="1"/>
  <c r="P188" i="1" s="1"/>
  <c r="B188" i="1"/>
  <c r="O188" i="1" s="1"/>
  <c r="M187" i="1"/>
  <c r="P187" i="1" s="1"/>
  <c r="B187" i="1"/>
  <c r="O187" i="1" s="1"/>
  <c r="M186" i="1"/>
  <c r="P186" i="1" s="1"/>
  <c r="B186" i="1"/>
  <c r="O186" i="1" s="1"/>
  <c r="M185" i="1"/>
  <c r="P185" i="1" s="1"/>
  <c r="B185" i="1"/>
  <c r="O185" i="1" s="1"/>
  <c r="M184" i="1"/>
  <c r="P184" i="1" s="1"/>
  <c r="B184" i="1"/>
  <c r="O184" i="1" s="1"/>
  <c r="M183" i="1"/>
  <c r="P183" i="1" s="1"/>
  <c r="B183" i="1"/>
  <c r="O183" i="1" s="1"/>
  <c r="M182" i="1"/>
  <c r="P182" i="1" s="1"/>
  <c r="B182" i="1"/>
  <c r="O182" i="1" s="1"/>
  <c r="M181" i="1"/>
  <c r="P181" i="1" s="1"/>
  <c r="B181" i="1"/>
  <c r="O181" i="1" s="1"/>
  <c r="M180" i="1"/>
  <c r="P180" i="1" s="1"/>
  <c r="B180" i="1"/>
  <c r="O180" i="1" s="1"/>
  <c r="M179" i="1"/>
  <c r="P179" i="1" s="1"/>
  <c r="B179" i="1"/>
  <c r="O179" i="1" s="1"/>
  <c r="M177" i="1"/>
  <c r="P177" i="1" s="1"/>
  <c r="B177" i="1"/>
  <c r="O177" i="1" s="1"/>
  <c r="M176" i="1"/>
  <c r="P176" i="1" s="1"/>
  <c r="B176" i="1"/>
  <c r="O176" i="1" s="1"/>
  <c r="M175" i="1"/>
  <c r="P175" i="1" s="1"/>
  <c r="B175" i="1"/>
  <c r="O175" i="1" s="1"/>
  <c r="M174" i="1"/>
  <c r="P174" i="1" s="1"/>
  <c r="B174" i="1"/>
  <c r="O174" i="1" s="1"/>
  <c r="M173" i="1"/>
  <c r="P173" i="1" s="1"/>
  <c r="B173" i="1"/>
  <c r="O173" i="1" s="1"/>
  <c r="M172" i="1"/>
  <c r="P172" i="1" s="1"/>
  <c r="B172" i="1"/>
  <c r="O172" i="1" s="1"/>
  <c r="M171" i="1"/>
  <c r="P171" i="1" s="1"/>
  <c r="B171" i="1"/>
  <c r="O171" i="1" s="1"/>
  <c r="M170" i="1"/>
  <c r="P170" i="1" s="1"/>
  <c r="B170" i="1"/>
  <c r="O170" i="1" s="1"/>
  <c r="M169" i="1"/>
  <c r="P169" i="1" s="1"/>
  <c r="B169" i="1"/>
  <c r="O169" i="1" s="1"/>
  <c r="M168" i="1"/>
  <c r="P168" i="1" s="1"/>
  <c r="B168" i="1"/>
  <c r="O168" i="1" s="1"/>
  <c r="M166" i="1"/>
  <c r="P166" i="1" s="1"/>
  <c r="B166" i="1"/>
  <c r="O166" i="1" s="1"/>
  <c r="M165" i="1"/>
  <c r="P165" i="1" s="1"/>
  <c r="B165" i="1"/>
  <c r="O165" i="1" s="1"/>
  <c r="M164" i="1"/>
  <c r="P164" i="1" s="1"/>
  <c r="B164" i="1"/>
  <c r="O164" i="1" s="1"/>
  <c r="M163" i="1"/>
  <c r="P163" i="1" s="1"/>
  <c r="B163" i="1"/>
  <c r="O163" i="1" s="1"/>
  <c r="M162" i="1"/>
  <c r="P162" i="1" s="1"/>
  <c r="B162" i="1"/>
  <c r="O162" i="1" s="1"/>
  <c r="M161" i="1"/>
  <c r="P161" i="1" s="1"/>
  <c r="B161" i="1"/>
  <c r="O161" i="1" s="1"/>
  <c r="M160" i="1"/>
  <c r="P160" i="1" s="1"/>
  <c r="B160" i="1"/>
  <c r="O160" i="1" s="1"/>
  <c r="M159" i="1"/>
  <c r="P159" i="1" s="1"/>
  <c r="B159" i="1"/>
  <c r="O159" i="1" s="1"/>
  <c r="M158" i="1"/>
  <c r="P158" i="1" s="1"/>
  <c r="B158" i="1"/>
  <c r="O158" i="1" s="1"/>
  <c r="M157" i="1"/>
  <c r="P157" i="1" s="1"/>
  <c r="B157" i="1"/>
  <c r="O157" i="1" s="1"/>
  <c r="M155" i="1"/>
  <c r="P155" i="1" s="1"/>
  <c r="B155" i="1"/>
  <c r="O155" i="1" s="1"/>
  <c r="M154" i="1"/>
  <c r="P154" i="1" s="1"/>
  <c r="B154" i="1"/>
  <c r="O154" i="1" s="1"/>
  <c r="M153" i="1"/>
  <c r="P153" i="1" s="1"/>
  <c r="B153" i="1"/>
  <c r="O153" i="1" s="1"/>
  <c r="M152" i="1"/>
  <c r="P152" i="1" s="1"/>
  <c r="B152" i="1"/>
  <c r="O152" i="1" s="1"/>
  <c r="M151" i="1"/>
  <c r="P151" i="1" s="1"/>
  <c r="B151" i="1"/>
  <c r="O151" i="1" s="1"/>
  <c r="M150" i="1"/>
  <c r="P150" i="1" s="1"/>
  <c r="B150" i="1"/>
  <c r="O150" i="1" s="1"/>
  <c r="M149" i="1"/>
  <c r="P149" i="1" s="1"/>
  <c r="B149" i="1"/>
  <c r="O149" i="1" s="1"/>
  <c r="M148" i="1"/>
  <c r="P148" i="1" s="1"/>
  <c r="B148" i="1"/>
  <c r="O148" i="1" s="1"/>
  <c r="M147" i="1"/>
  <c r="P147" i="1" s="1"/>
  <c r="B147" i="1"/>
  <c r="O147" i="1" s="1"/>
  <c r="M146" i="1"/>
  <c r="P146" i="1" s="1"/>
  <c r="B146" i="1"/>
  <c r="O146" i="1" s="1"/>
  <c r="M144" i="1"/>
  <c r="P144" i="1" s="1"/>
  <c r="B144" i="1"/>
  <c r="O144" i="1" s="1"/>
  <c r="M143" i="1"/>
  <c r="P143" i="1" s="1"/>
  <c r="B143" i="1"/>
  <c r="O143" i="1" s="1"/>
  <c r="M142" i="1"/>
  <c r="P142" i="1" s="1"/>
  <c r="B142" i="1"/>
  <c r="O142" i="1" s="1"/>
  <c r="M141" i="1"/>
  <c r="P141" i="1" s="1"/>
  <c r="B141" i="1"/>
  <c r="O141" i="1" s="1"/>
  <c r="M140" i="1"/>
  <c r="P140" i="1" s="1"/>
  <c r="B140" i="1"/>
  <c r="O140" i="1" s="1"/>
  <c r="M139" i="1"/>
  <c r="P139" i="1" s="1"/>
  <c r="B139" i="1"/>
  <c r="O139" i="1" s="1"/>
  <c r="M138" i="1"/>
  <c r="P138" i="1" s="1"/>
  <c r="B138" i="1"/>
  <c r="O138" i="1" s="1"/>
  <c r="M137" i="1"/>
  <c r="P137" i="1" s="1"/>
  <c r="B137" i="1"/>
  <c r="O137" i="1" s="1"/>
  <c r="M136" i="1"/>
  <c r="P136" i="1" s="1"/>
  <c r="B136" i="1"/>
  <c r="O136" i="1" s="1"/>
  <c r="M135" i="1"/>
  <c r="P135" i="1" s="1"/>
  <c r="B135" i="1"/>
  <c r="O135" i="1" s="1"/>
  <c r="M133" i="1"/>
  <c r="P133" i="1" s="1"/>
  <c r="B133" i="1"/>
  <c r="O133" i="1" s="1"/>
  <c r="M132" i="1"/>
  <c r="P132" i="1" s="1"/>
  <c r="B132" i="1"/>
  <c r="O132" i="1" s="1"/>
  <c r="M131" i="1"/>
  <c r="P131" i="1" s="1"/>
  <c r="B131" i="1"/>
  <c r="O131" i="1" s="1"/>
  <c r="M130" i="1"/>
  <c r="P130" i="1" s="1"/>
  <c r="B130" i="1"/>
  <c r="O130" i="1" s="1"/>
  <c r="M129" i="1"/>
  <c r="P129" i="1" s="1"/>
  <c r="B129" i="1"/>
  <c r="O129" i="1" s="1"/>
  <c r="M128" i="1"/>
  <c r="P128" i="1" s="1"/>
  <c r="B128" i="1"/>
  <c r="O128" i="1" s="1"/>
  <c r="M127" i="1"/>
  <c r="P127" i="1" s="1"/>
  <c r="B127" i="1"/>
  <c r="O127" i="1" s="1"/>
  <c r="M126" i="1"/>
  <c r="P126" i="1" s="1"/>
  <c r="B126" i="1"/>
  <c r="O126" i="1" s="1"/>
  <c r="M125" i="1"/>
  <c r="P125" i="1" s="1"/>
  <c r="B125" i="1"/>
  <c r="O125" i="1" s="1"/>
  <c r="M124" i="1"/>
  <c r="P124" i="1" s="1"/>
  <c r="B124" i="1"/>
  <c r="O124" i="1" s="1"/>
  <c r="M122" i="1"/>
  <c r="P122" i="1" s="1"/>
  <c r="B122" i="1"/>
  <c r="O122" i="1" s="1"/>
  <c r="M121" i="1"/>
  <c r="P121" i="1" s="1"/>
  <c r="B121" i="1"/>
  <c r="O121" i="1" s="1"/>
  <c r="M120" i="1"/>
  <c r="P120" i="1" s="1"/>
  <c r="B120" i="1"/>
  <c r="O120" i="1" s="1"/>
  <c r="M119" i="1"/>
  <c r="P119" i="1" s="1"/>
  <c r="B119" i="1"/>
  <c r="O119" i="1" s="1"/>
  <c r="M118" i="1"/>
  <c r="P118" i="1" s="1"/>
  <c r="B118" i="1"/>
  <c r="O118" i="1" s="1"/>
  <c r="M117" i="1"/>
  <c r="P117" i="1" s="1"/>
  <c r="B117" i="1"/>
  <c r="O117" i="1" s="1"/>
  <c r="M116" i="1"/>
  <c r="P116" i="1" s="1"/>
  <c r="B116" i="1"/>
  <c r="O116" i="1" s="1"/>
  <c r="M115" i="1"/>
  <c r="P115" i="1" s="1"/>
  <c r="B115" i="1"/>
  <c r="O115" i="1" s="1"/>
  <c r="M114" i="1"/>
  <c r="P114" i="1" s="1"/>
  <c r="B114" i="1"/>
  <c r="O114" i="1" s="1"/>
  <c r="M113" i="1"/>
  <c r="P113" i="1" s="1"/>
  <c r="B113" i="1"/>
  <c r="O113" i="1" s="1"/>
  <c r="M111" i="1"/>
  <c r="P111" i="1" s="1"/>
  <c r="B111" i="1"/>
  <c r="O111" i="1" s="1"/>
  <c r="M110" i="1"/>
  <c r="P110" i="1" s="1"/>
  <c r="B110" i="1"/>
  <c r="O110" i="1" s="1"/>
  <c r="M109" i="1"/>
  <c r="P109" i="1" s="1"/>
  <c r="B109" i="1"/>
  <c r="O109" i="1" s="1"/>
  <c r="M108" i="1"/>
  <c r="P108" i="1" s="1"/>
  <c r="B108" i="1"/>
  <c r="O108" i="1" s="1"/>
  <c r="M107" i="1"/>
  <c r="P107" i="1" s="1"/>
  <c r="B107" i="1"/>
  <c r="O107" i="1" s="1"/>
  <c r="M106" i="1"/>
  <c r="P106" i="1" s="1"/>
  <c r="B106" i="1"/>
  <c r="O106" i="1" s="1"/>
  <c r="M105" i="1"/>
  <c r="P105" i="1" s="1"/>
  <c r="B105" i="1"/>
  <c r="O105" i="1" s="1"/>
  <c r="M104" i="1"/>
  <c r="P104" i="1" s="1"/>
  <c r="B104" i="1"/>
  <c r="O104" i="1" s="1"/>
  <c r="M103" i="1"/>
  <c r="P103" i="1" s="1"/>
  <c r="B103" i="1"/>
  <c r="O103" i="1" s="1"/>
  <c r="M102" i="1"/>
  <c r="P102" i="1" s="1"/>
  <c r="B102" i="1"/>
  <c r="O102" i="1" s="1"/>
  <c r="M100" i="1"/>
  <c r="P100" i="1" s="1"/>
  <c r="B100" i="1"/>
  <c r="O100" i="1" s="1"/>
  <c r="M99" i="1"/>
  <c r="P99" i="1" s="1"/>
  <c r="B99" i="1"/>
  <c r="O99" i="1" s="1"/>
  <c r="M98" i="1"/>
  <c r="P98" i="1" s="1"/>
  <c r="B98" i="1"/>
  <c r="O98" i="1" s="1"/>
  <c r="M97" i="1"/>
  <c r="P97" i="1" s="1"/>
  <c r="B97" i="1"/>
  <c r="O97" i="1" s="1"/>
  <c r="M96" i="1"/>
  <c r="P96" i="1" s="1"/>
  <c r="B96" i="1"/>
  <c r="O96" i="1" s="1"/>
  <c r="M95" i="1"/>
  <c r="P95" i="1" s="1"/>
  <c r="B95" i="1"/>
  <c r="O95" i="1" s="1"/>
  <c r="M94" i="1"/>
  <c r="P94" i="1" s="1"/>
  <c r="B94" i="1"/>
  <c r="O94" i="1" s="1"/>
  <c r="M93" i="1"/>
  <c r="P93" i="1" s="1"/>
  <c r="B93" i="1"/>
  <c r="O93" i="1" s="1"/>
  <c r="M92" i="1"/>
  <c r="P92" i="1" s="1"/>
  <c r="B92" i="1"/>
  <c r="O92" i="1" s="1"/>
  <c r="M91" i="1"/>
  <c r="P91" i="1" s="1"/>
  <c r="B91" i="1"/>
  <c r="O91" i="1" s="1"/>
  <c r="M89" i="1"/>
  <c r="P89" i="1" s="1"/>
  <c r="B89" i="1"/>
  <c r="O89" i="1" s="1"/>
  <c r="M88" i="1"/>
  <c r="P88" i="1" s="1"/>
  <c r="B88" i="1"/>
  <c r="O88" i="1" s="1"/>
  <c r="M87" i="1"/>
  <c r="P87" i="1" s="1"/>
  <c r="B87" i="1"/>
  <c r="O87" i="1" s="1"/>
  <c r="M86" i="1"/>
  <c r="P86" i="1" s="1"/>
  <c r="B86" i="1"/>
  <c r="O86" i="1" s="1"/>
  <c r="M85" i="1"/>
  <c r="P85" i="1" s="1"/>
  <c r="B85" i="1"/>
  <c r="O85" i="1" s="1"/>
  <c r="M84" i="1"/>
  <c r="P84" i="1" s="1"/>
  <c r="B84" i="1"/>
  <c r="O84" i="1" s="1"/>
  <c r="M83" i="1"/>
  <c r="P83" i="1" s="1"/>
  <c r="B83" i="1"/>
  <c r="O83" i="1" s="1"/>
  <c r="M82" i="1"/>
  <c r="P82" i="1" s="1"/>
  <c r="B82" i="1"/>
  <c r="O82" i="1" s="1"/>
  <c r="M81" i="1"/>
  <c r="P81" i="1" s="1"/>
  <c r="B81" i="1"/>
  <c r="O81" i="1" s="1"/>
  <c r="M80" i="1"/>
  <c r="P80" i="1" s="1"/>
  <c r="B80" i="1"/>
  <c r="O80" i="1" s="1"/>
  <c r="M78" i="1"/>
  <c r="P78" i="1" s="1"/>
  <c r="B78" i="1"/>
  <c r="O78" i="1" s="1"/>
  <c r="M77" i="1"/>
  <c r="P77" i="1" s="1"/>
  <c r="B77" i="1"/>
  <c r="O77" i="1" s="1"/>
  <c r="M76" i="1"/>
  <c r="P76" i="1" s="1"/>
  <c r="B76" i="1"/>
  <c r="O76" i="1" s="1"/>
  <c r="M75" i="1"/>
  <c r="P75" i="1" s="1"/>
  <c r="B75" i="1"/>
  <c r="O75" i="1" s="1"/>
  <c r="M74" i="1"/>
  <c r="P74" i="1" s="1"/>
  <c r="B74" i="1"/>
  <c r="O74" i="1" s="1"/>
  <c r="M73" i="1"/>
  <c r="P73" i="1" s="1"/>
  <c r="B73" i="1"/>
  <c r="O73" i="1" s="1"/>
  <c r="M72" i="1"/>
  <c r="P72" i="1" s="1"/>
  <c r="B72" i="1"/>
  <c r="O72" i="1" s="1"/>
  <c r="M71" i="1"/>
  <c r="P71" i="1" s="1"/>
  <c r="B71" i="1"/>
  <c r="O71" i="1" s="1"/>
  <c r="M70" i="1"/>
  <c r="P70" i="1" s="1"/>
  <c r="B70" i="1"/>
  <c r="O70" i="1" s="1"/>
  <c r="M69" i="1"/>
  <c r="P69" i="1" s="1"/>
  <c r="B69" i="1"/>
  <c r="O69" i="1" s="1"/>
  <c r="M67" i="1"/>
  <c r="P67" i="1" s="1"/>
  <c r="B67" i="1"/>
  <c r="O67" i="1" s="1"/>
  <c r="M66" i="1"/>
  <c r="P66" i="1" s="1"/>
  <c r="B66" i="1"/>
  <c r="O66" i="1" s="1"/>
  <c r="M65" i="1"/>
  <c r="P65" i="1" s="1"/>
  <c r="B65" i="1"/>
  <c r="O65" i="1" s="1"/>
  <c r="M64" i="1"/>
  <c r="P64" i="1" s="1"/>
  <c r="B64" i="1"/>
  <c r="O64" i="1" s="1"/>
  <c r="M63" i="1"/>
  <c r="P63" i="1" s="1"/>
  <c r="B63" i="1"/>
  <c r="O63" i="1" s="1"/>
  <c r="M62" i="1"/>
  <c r="P62" i="1" s="1"/>
  <c r="B62" i="1"/>
  <c r="O62" i="1" s="1"/>
  <c r="M61" i="1"/>
  <c r="P61" i="1" s="1"/>
  <c r="B61" i="1"/>
  <c r="O61" i="1" s="1"/>
  <c r="M60" i="1"/>
  <c r="P60" i="1" s="1"/>
  <c r="B60" i="1"/>
  <c r="O60" i="1" s="1"/>
  <c r="M59" i="1"/>
  <c r="P59" i="1" s="1"/>
  <c r="B59" i="1"/>
  <c r="O59" i="1" s="1"/>
  <c r="M58" i="1"/>
  <c r="P58" i="1" s="1"/>
  <c r="B58" i="1"/>
  <c r="O58" i="1" s="1"/>
  <c r="M56" i="1"/>
  <c r="P56" i="1" s="1"/>
  <c r="B56" i="1"/>
  <c r="O56" i="1" s="1"/>
  <c r="M55" i="1"/>
  <c r="P55" i="1" s="1"/>
  <c r="B55" i="1"/>
  <c r="O55" i="1" s="1"/>
  <c r="M54" i="1"/>
  <c r="P54" i="1" s="1"/>
  <c r="B54" i="1"/>
  <c r="O54" i="1" s="1"/>
  <c r="M53" i="1"/>
  <c r="P53" i="1" s="1"/>
  <c r="B53" i="1"/>
  <c r="O53" i="1" s="1"/>
  <c r="M52" i="1"/>
  <c r="P52" i="1" s="1"/>
  <c r="B52" i="1"/>
  <c r="O52" i="1" s="1"/>
  <c r="M51" i="1"/>
  <c r="P51" i="1" s="1"/>
  <c r="B51" i="1"/>
  <c r="O51" i="1" s="1"/>
  <c r="M50" i="1"/>
  <c r="P50" i="1" s="1"/>
  <c r="B50" i="1"/>
  <c r="O50" i="1" s="1"/>
  <c r="M49" i="1"/>
  <c r="P49" i="1" s="1"/>
  <c r="B49" i="1"/>
  <c r="O49" i="1" s="1"/>
  <c r="M48" i="1"/>
  <c r="P48" i="1" s="1"/>
  <c r="B48" i="1"/>
  <c r="O48" i="1" s="1"/>
  <c r="M47" i="1"/>
  <c r="P47" i="1" s="1"/>
  <c r="B47" i="1"/>
  <c r="O47" i="1" s="1"/>
  <c r="M45" i="1"/>
  <c r="P45" i="1" s="1"/>
  <c r="B45" i="1"/>
  <c r="O45" i="1" s="1"/>
  <c r="M44" i="1"/>
  <c r="P44" i="1" s="1"/>
  <c r="B44" i="1"/>
  <c r="O44" i="1" s="1"/>
  <c r="M43" i="1"/>
  <c r="P43" i="1" s="1"/>
  <c r="B43" i="1"/>
  <c r="O43" i="1" s="1"/>
  <c r="M42" i="1"/>
  <c r="P42" i="1" s="1"/>
  <c r="B42" i="1"/>
  <c r="O42" i="1" s="1"/>
  <c r="M41" i="1"/>
  <c r="P41" i="1" s="1"/>
  <c r="B41" i="1"/>
  <c r="O41" i="1" s="1"/>
  <c r="M40" i="1"/>
  <c r="P40" i="1" s="1"/>
  <c r="B40" i="1"/>
  <c r="O40" i="1" s="1"/>
  <c r="M39" i="1"/>
  <c r="P39" i="1" s="1"/>
  <c r="B39" i="1"/>
  <c r="O39" i="1" s="1"/>
  <c r="M38" i="1"/>
  <c r="P38" i="1" s="1"/>
  <c r="B38" i="1"/>
  <c r="O38" i="1" s="1"/>
  <c r="M37" i="1"/>
  <c r="P37" i="1" s="1"/>
  <c r="B37" i="1"/>
  <c r="O37" i="1" s="1"/>
  <c r="M36" i="1"/>
  <c r="P36" i="1" s="1"/>
  <c r="B36" i="1"/>
  <c r="O36" i="1" s="1"/>
  <c r="M34" i="1"/>
  <c r="B34" i="1"/>
  <c r="O34" i="1" s="1"/>
  <c r="M33" i="1"/>
  <c r="P33" i="1" s="1"/>
  <c r="B33" i="1"/>
  <c r="O33" i="1" s="1"/>
  <c r="M32" i="1"/>
  <c r="P32" i="1" s="1"/>
  <c r="B32" i="1"/>
  <c r="O32" i="1" s="1"/>
  <c r="M31" i="1"/>
  <c r="P31" i="1" s="1"/>
  <c r="B31" i="1"/>
  <c r="O31" i="1" s="1"/>
  <c r="M30" i="1"/>
  <c r="P30" i="1" s="1"/>
  <c r="B30" i="1"/>
  <c r="O30" i="1" s="1"/>
  <c r="M29" i="1"/>
  <c r="P29" i="1" s="1"/>
  <c r="B29" i="1"/>
  <c r="O29" i="1" s="1"/>
  <c r="M28" i="1"/>
  <c r="P28" i="1" s="1"/>
  <c r="B28" i="1"/>
  <c r="O28" i="1" s="1"/>
  <c r="M27" i="1"/>
  <c r="P27" i="1" s="1"/>
  <c r="B27" i="1"/>
  <c r="O27" i="1" s="1"/>
  <c r="M26" i="1"/>
  <c r="B26" i="1"/>
  <c r="M25" i="1"/>
  <c r="P25" i="1" s="1"/>
  <c r="B25" i="1"/>
  <c r="O25" i="1" s="1"/>
  <c r="M23" i="1"/>
  <c r="P23" i="1" s="1"/>
  <c r="B23" i="1"/>
  <c r="M22" i="1"/>
  <c r="P22" i="1" s="1"/>
  <c r="B22" i="1"/>
  <c r="M21" i="1"/>
  <c r="P21" i="1" s="1"/>
  <c r="B21" i="1"/>
  <c r="M20" i="1"/>
  <c r="P20" i="1" s="1"/>
  <c r="B20" i="1"/>
  <c r="M19" i="1"/>
  <c r="P19" i="1" s="1"/>
  <c r="B19" i="1"/>
  <c r="M18" i="1"/>
  <c r="P18" i="1" s="1"/>
  <c r="B18" i="1"/>
  <c r="M17" i="1"/>
  <c r="P17" i="1" s="1"/>
  <c r="B17" i="1"/>
  <c r="M16" i="1"/>
  <c r="P16" i="1" s="1"/>
  <c r="B16" i="1"/>
  <c r="M15" i="1"/>
  <c r="P15" i="1" s="1"/>
  <c r="B15" i="1"/>
  <c r="M14" i="1"/>
  <c r="P14" i="1" s="1"/>
  <c r="B14" i="1"/>
  <c r="O14" i="1" s="1"/>
  <c r="M12" i="1"/>
  <c r="B12" i="1"/>
  <c r="M11" i="1"/>
  <c r="B11" i="1"/>
  <c r="M10" i="1"/>
  <c r="B10" i="1"/>
  <c r="M9" i="1"/>
  <c r="B9" i="1"/>
  <c r="M8" i="1"/>
  <c r="B8" i="1"/>
  <c r="M7" i="1"/>
  <c r="B7" i="1"/>
  <c r="M6" i="1"/>
  <c r="B6" i="1"/>
  <c r="M5" i="1"/>
  <c r="B5" i="1"/>
  <c r="M4" i="1"/>
  <c r="AC11" i="9"/>
  <c r="S7" i="9"/>
  <c r="AE10" i="9"/>
  <c r="O10" i="9"/>
  <c r="Y10" i="9"/>
  <c r="I11" i="9"/>
  <c r="S11" i="9"/>
  <c r="AB11" i="9"/>
  <c r="AH10" i="9"/>
  <c r="AE11" i="9"/>
  <c r="AF7" i="9"/>
  <c r="Q7" i="9"/>
  <c r="AJ7" i="9"/>
  <c r="Z10" i="9"/>
  <c r="X10" i="9"/>
  <c r="O7" i="9"/>
  <c r="AB7" i="9"/>
  <c r="P10" i="9"/>
  <c r="V10" i="9"/>
  <c r="I7" i="9"/>
  <c r="M11" i="9"/>
  <c r="R10" i="9"/>
  <c r="AC7" i="9"/>
  <c r="J11" i="9"/>
  <c r="H7" i="9"/>
  <c r="G7" i="9"/>
  <c r="W11" i="9"/>
  <c r="O11" i="9"/>
  <c r="W7" i="9"/>
  <c r="AH7" i="9"/>
  <c r="G11" i="9"/>
  <c r="G10" i="9"/>
  <c r="J7" i="9"/>
  <c r="AK7" i="9"/>
  <c r="AK10" i="9"/>
  <c r="AG7" i="9"/>
  <c r="L11" i="9"/>
  <c r="AC10" i="9"/>
  <c r="X11" i="9"/>
  <c r="K7" i="9"/>
  <c r="Q11" i="9"/>
  <c r="AE7" i="9"/>
  <c r="N10" i="9"/>
  <c r="V11" i="9"/>
  <c r="V7" i="9"/>
  <c r="L10" i="9"/>
  <c r="F11" i="9"/>
  <c r="Y7" i="9"/>
  <c r="T11" i="9"/>
  <c r="N11" i="9"/>
  <c r="S10" i="9"/>
  <c r="AH11" i="9"/>
  <c r="K11" i="9"/>
  <c r="AA7" i="9"/>
  <c r="N7" i="9"/>
  <c r="E11" i="9"/>
  <c r="M7" i="9"/>
  <c r="AA11" i="9"/>
  <c r="H11" i="9"/>
  <c r="AK11" i="9"/>
  <c r="X7" i="9"/>
  <c r="AI7" i="9"/>
  <c r="H10" i="9"/>
  <c r="T10" i="9"/>
  <c r="Y11" i="9"/>
  <c r="Z11" i="9"/>
  <c r="R7" i="9"/>
  <c r="T7" i="9"/>
  <c r="AD11" i="9"/>
  <c r="AG11" i="9"/>
  <c r="U7" i="9"/>
  <c r="Q10" i="9"/>
  <c r="M10" i="9"/>
  <c r="AF10" i="9"/>
  <c r="K10" i="9"/>
  <c r="P7" i="9"/>
  <c r="AA10" i="9"/>
  <c r="AI11" i="9"/>
  <c r="AF11" i="9"/>
  <c r="AJ10" i="9"/>
  <c r="AD10" i="9"/>
  <c r="Z7" i="9"/>
  <c r="AD7" i="9"/>
  <c r="U10" i="9"/>
  <c r="I10" i="9"/>
  <c r="L7" i="9"/>
  <c r="R11" i="9"/>
  <c r="AB10" i="9"/>
  <c r="AJ11" i="9"/>
  <c r="U11" i="9"/>
  <c r="J10" i="9"/>
  <c r="AI10" i="9"/>
  <c r="W10" i="9"/>
  <c r="AB701" i="1" l="1"/>
  <c r="AD701" i="1"/>
  <c r="AC701" i="1"/>
  <c r="O20" i="1"/>
  <c r="AC700" i="1"/>
  <c r="AB700" i="1"/>
  <c r="AD700" i="1"/>
  <c r="O21" i="1"/>
  <c r="AB695" i="1"/>
  <c r="AC695" i="1"/>
  <c r="AD695" i="1"/>
  <c r="O15" i="1"/>
  <c r="AC685" i="1"/>
  <c r="AB685" i="1"/>
  <c r="AD685" i="1"/>
  <c r="AD665" i="1"/>
  <c r="AB665" i="1"/>
  <c r="AB699" i="1"/>
  <c r="AD699" i="1"/>
  <c r="AC699" i="1"/>
  <c r="AD690" i="1"/>
  <c r="AB690" i="1"/>
  <c r="AC690" i="1"/>
  <c r="AB691" i="1"/>
  <c r="AD691" i="1"/>
  <c r="AC691" i="1"/>
  <c r="O17" i="1"/>
  <c r="AD696" i="1"/>
  <c r="AC696" i="1"/>
  <c r="AB696" i="1"/>
  <c r="O23" i="1"/>
  <c r="AC697" i="1"/>
  <c r="AB697" i="1"/>
  <c r="AD697" i="1"/>
  <c r="AD702" i="1"/>
  <c r="AB702" i="1"/>
  <c r="AC702" i="1"/>
  <c r="O16" i="1"/>
  <c r="AC688" i="1"/>
  <c r="AB688" i="1"/>
  <c r="AD688" i="1"/>
  <c r="O22" i="1"/>
  <c r="AD698" i="1"/>
  <c r="AB698" i="1"/>
  <c r="AC698" i="1"/>
  <c r="AC692" i="1"/>
  <c r="AD692" i="1"/>
  <c r="AB692" i="1"/>
  <c r="AC693" i="1"/>
  <c r="AB693" i="1"/>
  <c r="AD693" i="1"/>
  <c r="O18" i="1"/>
  <c r="AD687" i="1"/>
  <c r="AC687" i="1"/>
  <c r="AB687" i="1"/>
  <c r="AD689" i="1"/>
  <c r="AB689" i="1"/>
  <c r="AC689" i="1"/>
  <c r="AD686" i="1"/>
  <c r="AB686" i="1"/>
  <c r="AC686" i="1"/>
  <c r="O19" i="1"/>
  <c r="AB694" i="1"/>
  <c r="AC694" i="1"/>
  <c r="AD694" i="1"/>
  <c r="AC130" i="1"/>
  <c r="AB130" i="1"/>
  <c r="AD130" i="1"/>
  <c r="AD142" i="1"/>
  <c r="AC142" i="1"/>
  <c r="AB142" i="1"/>
  <c r="AD140" i="1"/>
  <c r="AC140" i="1"/>
  <c r="AB140" i="1"/>
  <c r="AD125" i="1"/>
  <c r="AC125" i="1"/>
  <c r="AB125" i="1"/>
  <c r="AB445" i="1"/>
  <c r="AB136" i="1"/>
  <c r="AD136" i="1"/>
  <c r="AC136" i="1"/>
  <c r="AB134" i="1"/>
  <c r="AD134" i="1"/>
  <c r="AC134" i="1"/>
  <c r="AD128" i="1"/>
  <c r="AC128" i="1"/>
  <c r="AB448" i="1"/>
  <c r="AB128" i="1"/>
  <c r="AD141" i="1"/>
  <c r="AC141" i="1"/>
  <c r="AB141" i="1"/>
  <c r="AD139" i="1"/>
  <c r="AC139" i="1"/>
  <c r="AB139" i="1"/>
  <c r="AD127" i="1"/>
  <c r="AC127" i="1"/>
  <c r="AB447" i="1"/>
  <c r="AB127" i="1"/>
  <c r="AB137" i="1"/>
  <c r="AD137" i="1"/>
  <c r="AC137" i="1"/>
  <c r="AB135" i="1"/>
  <c r="AD135" i="1"/>
  <c r="AC135" i="1"/>
  <c r="AC132" i="1"/>
  <c r="AB132" i="1"/>
  <c r="AD132" i="1"/>
  <c r="AC133" i="1"/>
  <c r="AB133" i="1"/>
  <c r="AD133" i="1"/>
  <c r="AC129" i="1"/>
  <c r="AB449" i="1"/>
  <c r="AB129" i="1"/>
  <c r="AD129" i="1"/>
  <c r="AD126" i="1"/>
  <c r="AC126" i="1"/>
  <c r="AB446" i="1"/>
  <c r="AB126" i="1"/>
  <c r="P26" i="1"/>
  <c r="AD138" i="1"/>
  <c r="AB138" i="1"/>
  <c r="AC138" i="1"/>
  <c r="O26" i="1"/>
  <c r="AC131" i="1"/>
  <c r="AD131" i="1"/>
  <c r="AB131" i="1"/>
  <c r="P12" i="1"/>
  <c r="AB158" i="1"/>
  <c r="AD158" i="1"/>
  <c r="AC438" i="1"/>
  <c r="AD458" i="1"/>
  <c r="AB458" i="1"/>
  <c r="AC178" i="1"/>
  <c r="AC158" i="1"/>
  <c r="AD118" i="1"/>
  <c r="AB118" i="1"/>
  <c r="AD438" i="1"/>
  <c r="AB438" i="1"/>
  <c r="AC458" i="1"/>
  <c r="AD178" i="1"/>
  <c r="AB178" i="1"/>
  <c r="AC118" i="1"/>
  <c r="O7" i="1"/>
  <c r="AC441" i="1"/>
  <c r="AD461" i="1"/>
  <c r="AB461" i="1"/>
  <c r="AC181" i="1"/>
  <c r="AD121" i="1"/>
  <c r="AB121" i="1"/>
  <c r="AC161" i="1"/>
  <c r="AD441" i="1"/>
  <c r="AB441" i="1"/>
  <c r="AC461" i="1"/>
  <c r="AD181" i="1"/>
  <c r="AB181" i="1"/>
  <c r="AC121" i="1"/>
  <c r="AB161" i="1"/>
  <c r="AD161" i="1"/>
  <c r="P6" i="1"/>
  <c r="AD160" i="1"/>
  <c r="AC440" i="1"/>
  <c r="AD460" i="1"/>
  <c r="AB460" i="1"/>
  <c r="AB160" i="1"/>
  <c r="AD120" i="1"/>
  <c r="AB120" i="1"/>
  <c r="AD180" i="1"/>
  <c r="AB180" i="1"/>
  <c r="AC160" i="1"/>
  <c r="AD440" i="1"/>
  <c r="AB440" i="1"/>
  <c r="AC460" i="1"/>
  <c r="AC120" i="1"/>
  <c r="AC180" i="1"/>
  <c r="P8" i="1"/>
  <c r="AC116" i="1"/>
  <c r="AB156" i="1"/>
  <c r="AD156" i="1"/>
  <c r="AC436" i="1"/>
  <c r="AD456" i="1"/>
  <c r="AB456" i="1"/>
  <c r="AC176" i="1"/>
  <c r="AD116" i="1"/>
  <c r="AB116" i="1"/>
  <c r="AC156" i="1"/>
  <c r="AD436" i="1"/>
  <c r="AB436" i="1"/>
  <c r="AC456" i="1"/>
  <c r="AD176" i="1"/>
  <c r="AB176" i="1"/>
  <c r="AC117" i="1"/>
  <c r="AD437" i="1"/>
  <c r="AD157" i="1"/>
  <c r="AB437" i="1"/>
  <c r="AC437" i="1"/>
  <c r="AD457" i="1"/>
  <c r="AB457" i="1"/>
  <c r="AC177" i="1"/>
  <c r="AB177" i="1"/>
  <c r="AD117" i="1"/>
  <c r="AB117" i="1"/>
  <c r="AC157" i="1"/>
  <c r="AB157" i="1"/>
  <c r="AC457" i="1"/>
  <c r="AD177" i="1"/>
  <c r="P7" i="1"/>
  <c r="AC105" i="1"/>
  <c r="AD425" i="1"/>
  <c r="AB205" i="1"/>
  <c r="AD145" i="1"/>
  <c r="AC445" i="1"/>
  <c r="AC145" i="1"/>
  <c r="AC425" i="1"/>
  <c r="AD445" i="1"/>
  <c r="AC165" i="1"/>
  <c r="AD105" i="1"/>
  <c r="AB105" i="1"/>
  <c r="AD165" i="1"/>
  <c r="AB165" i="1"/>
  <c r="AB425" i="1"/>
  <c r="AB145" i="1"/>
  <c r="P9" i="1"/>
  <c r="AB207" i="1"/>
  <c r="AD147" i="1"/>
  <c r="AC427" i="1"/>
  <c r="AD447" i="1"/>
  <c r="AC167" i="1"/>
  <c r="AD107" i="1"/>
  <c r="AB107" i="1"/>
  <c r="AC147" i="1"/>
  <c r="AD427" i="1"/>
  <c r="AB427" i="1"/>
  <c r="AC447" i="1"/>
  <c r="AD167" i="1"/>
  <c r="AB167" i="1"/>
  <c r="AC107" i="1"/>
  <c r="AB147" i="1"/>
  <c r="O8" i="1"/>
  <c r="AD162" i="1"/>
  <c r="AD122" i="1"/>
  <c r="AB122" i="1"/>
  <c r="AC162" i="1"/>
  <c r="AD442" i="1"/>
  <c r="AB442" i="1"/>
  <c r="AC462" i="1"/>
  <c r="AD182" i="1"/>
  <c r="AB182" i="1"/>
  <c r="AC122" i="1"/>
  <c r="AB162" i="1"/>
  <c r="AC442" i="1"/>
  <c r="AD462" i="1"/>
  <c r="AB462" i="1"/>
  <c r="AC182" i="1"/>
  <c r="O9" i="1"/>
  <c r="AD159" i="1"/>
  <c r="AC439" i="1"/>
  <c r="AD459" i="1"/>
  <c r="AB459" i="1"/>
  <c r="AC179" i="1"/>
  <c r="AD119" i="1"/>
  <c r="AB119" i="1"/>
  <c r="AC159" i="1"/>
  <c r="AD439" i="1"/>
  <c r="AB439" i="1"/>
  <c r="AC459" i="1"/>
  <c r="AD179" i="1"/>
  <c r="AB179" i="1"/>
  <c r="AC119" i="1"/>
  <c r="AB159" i="1"/>
  <c r="O4" i="1"/>
  <c r="AD110" i="1"/>
  <c r="AB110" i="1"/>
  <c r="AC150" i="1"/>
  <c r="AD430" i="1"/>
  <c r="AB430" i="1"/>
  <c r="AC450" i="1"/>
  <c r="AD170" i="1"/>
  <c r="AB170" i="1"/>
  <c r="AC110" i="1"/>
  <c r="AB150" i="1"/>
  <c r="AD150" i="1"/>
  <c r="AC430" i="1"/>
  <c r="AD450" i="1"/>
  <c r="AB450" i="1"/>
  <c r="AC170" i="1"/>
  <c r="O10" i="1"/>
  <c r="AD111" i="1"/>
  <c r="AB111" i="1"/>
  <c r="AC151" i="1"/>
  <c r="AB171" i="1"/>
  <c r="AB451" i="1"/>
  <c r="AD431" i="1"/>
  <c r="AB431" i="1"/>
  <c r="AC451" i="1"/>
  <c r="AD171" i="1"/>
  <c r="AC111" i="1"/>
  <c r="AB151" i="1"/>
  <c r="AD151" i="1"/>
  <c r="AC171" i="1"/>
  <c r="AC431" i="1"/>
  <c r="AD451" i="1"/>
  <c r="P10" i="1"/>
  <c r="AD435" i="1"/>
  <c r="AB435" i="1"/>
  <c r="AC455" i="1"/>
  <c r="AD175" i="1"/>
  <c r="AB175" i="1"/>
  <c r="AC155" i="1"/>
  <c r="AC115" i="1"/>
  <c r="AB155" i="1"/>
  <c r="AD155" i="1"/>
  <c r="AC435" i="1"/>
  <c r="AD455" i="1"/>
  <c r="AB455" i="1"/>
  <c r="AC175" i="1"/>
  <c r="AD115" i="1"/>
  <c r="AB115" i="1"/>
  <c r="P11" i="1"/>
  <c r="AD148" i="1"/>
  <c r="AC168" i="1"/>
  <c r="AC428" i="1"/>
  <c r="AD448" i="1"/>
  <c r="AD108" i="1"/>
  <c r="AB108" i="1"/>
  <c r="AB168" i="1"/>
  <c r="AC148" i="1"/>
  <c r="AD168" i="1"/>
  <c r="AC448" i="1"/>
  <c r="AD428" i="1"/>
  <c r="AB428" i="1"/>
  <c r="AC108" i="1"/>
  <c r="AB148" i="1"/>
  <c r="AB208" i="1"/>
  <c r="O5" i="1"/>
  <c r="AC152" i="1"/>
  <c r="AD432" i="1"/>
  <c r="AB432" i="1"/>
  <c r="AC452" i="1"/>
  <c r="AD172" i="1"/>
  <c r="AB172" i="1"/>
  <c r="AC112" i="1"/>
  <c r="AB152" i="1"/>
  <c r="AD152" i="1"/>
  <c r="AC432" i="1"/>
  <c r="AD452" i="1"/>
  <c r="AB452" i="1"/>
  <c r="AC172" i="1"/>
  <c r="AD112" i="1"/>
  <c r="AB112" i="1"/>
  <c r="O11" i="1"/>
  <c r="AC153" i="1"/>
  <c r="AD433" i="1"/>
  <c r="AB433" i="1"/>
  <c r="AC453" i="1"/>
  <c r="AD173" i="1"/>
  <c r="AB173" i="1"/>
  <c r="AC113" i="1"/>
  <c r="AD153" i="1"/>
  <c r="AB153" i="1"/>
  <c r="AC433" i="1"/>
  <c r="AD453" i="1"/>
  <c r="AB453" i="1"/>
  <c r="AC173" i="1"/>
  <c r="AB113" i="1"/>
  <c r="AD113" i="1"/>
  <c r="P5" i="1"/>
  <c r="AD174" i="1"/>
  <c r="AD434" i="1"/>
  <c r="AB434" i="1"/>
  <c r="AC454" i="1"/>
  <c r="AC114" i="1"/>
  <c r="AB154" i="1"/>
  <c r="AB454" i="1"/>
  <c r="AD154" i="1"/>
  <c r="AC174" i="1"/>
  <c r="AC434" i="1"/>
  <c r="AD454" i="1"/>
  <c r="AD114" i="1"/>
  <c r="AB114" i="1"/>
  <c r="AC154" i="1"/>
  <c r="AB174" i="1"/>
  <c r="O6" i="1"/>
  <c r="AC429" i="1"/>
  <c r="AD449" i="1"/>
  <c r="AC169" i="1"/>
  <c r="AD109" i="1"/>
  <c r="AB109" i="1"/>
  <c r="AC149" i="1"/>
  <c r="AD429" i="1"/>
  <c r="AB429" i="1"/>
  <c r="AC449" i="1"/>
  <c r="AD169" i="1"/>
  <c r="AB169" i="1"/>
  <c r="AC109" i="1"/>
  <c r="AB149" i="1"/>
  <c r="AD149" i="1"/>
  <c r="O12" i="1"/>
  <c r="AB146" i="1"/>
  <c r="AB206" i="1"/>
  <c r="AC426" i="1"/>
  <c r="AD446" i="1"/>
  <c r="AC166" i="1"/>
  <c r="AD106" i="1"/>
  <c r="AB106" i="1"/>
  <c r="AD146" i="1"/>
  <c r="AD426" i="1"/>
  <c r="AB426" i="1"/>
  <c r="AC446" i="1"/>
  <c r="AD166" i="1"/>
  <c r="AB166" i="1"/>
  <c r="AC146" i="1"/>
  <c r="AC106" i="1"/>
  <c r="P4" i="1"/>
  <c r="AD37" i="1"/>
  <c r="S34" i="1"/>
  <c r="T34" i="1" s="1"/>
  <c r="P34" i="1"/>
  <c r="P207" i="1"/>
  <c r="AB28" i="1"/>
  <c r="AC28" i="1"/>
  <c r="AD28" i="1"/>
  <c r="AB36" i="1"/>
  <c r="AC36" i="1"/>
  <c r="AD36" i="1"/>
  <c r="AB38" i="1"/>
  <c r="AD38" i="1"/>
  <c r="AC38" i="1"/>
  <c r="AB37" i="1"/>
  <c r="AC37" i="1"/>
  <c r="AC39" i="1"/>
  <c r="AD39" i="1"/>
  <c r="AB39" i="1"/>
  <c r="AB34" i="1"/>
  <c r="AC34" i="1"/>
  <c r="AD34" i="1"/>
  <c r="AB35" i="1"/>
  <c r="AC35" i="1"/>
  <c r="AD35" i="1"/>
  <c r="AB32" i="1"/>
  <c r="AC32" i="1"/>
  <c r="AD32" i="1"/>
  <c r="AD33" i="1"/>
  <c r="AB33" i="1"/>
  <c r="AC33" i="1"/>
  <c r="AC41" i="1"/>
  <c r="AB41" i="1"/>
  <c r="AD41" i="1"/>
  <c r="AD29" i="1"/>
  <c r="AB29" i="1"/>
  <c r="AC29" i="1"/>
  <c r="AB30" i="1"/>
  <c r="AC30" i="1"/>
  <c r="AD30" i="1"/>
  <c r="AB25" i="1"/>
  <c r="AC25" i="1"/>
  <c r="AD25" i="1"/>
  <c r="AB40" i="1"/>
  <c r="AC40" i="1"/>
  <c r="AD40" i="1"/>
  <c r="AB27" i="1"/>
  <c r="AC27" i="1"/>
  <c r="AD27" i="1"/>
  <c r="AC26" i="1"/>
  <c r="AD26" i="1"/>
  <c r="AB26" i="1"/>
  <c r="AD42" i="1"/>
  <c r="AC42" i="1"/>
  <c r="AB42" i="1"/>
  <c r="AC31" i="1"/>
  <c r="AD31" i="1"/>
  <c r="AB31" i="1"/>
  <c r="AD670" i="1"/>
  <c r="AD668" i="1"/>
  <c r="AB682" i="1"/>
  <c r="AC682" i="1"/>
  <c r="AD682" i="1"/>
  <c r="AD674" i="1"/>
  <c r="AD678" i="1"/>
  <c r="AD669" i="1"/>
  <c r="AD666" i="1"/>
  <c r="AD679" i="1"/>
  <c r="AD667" i="1"/>
  <c r="AD681" i="1"/>
  <c r="AD675" i="1"/>
  <c r="AD677" i="1"/>
  <c r="AD672" i="1"/>
  <c r="AD671" i="1"/>
  <c r="AD680" i="1"/>
  <c r="AD676" i="1"/>
  <c r="AD673" i="1"/>
  <c r="AC674" i="1"/>
  <c r="AB674" i="1"/>
  <c r="AC678" i="1"/>
  <c r="AB678" i="1"/>
  <c r="AB666" i="1"/>
  <c r="AC666" i="1"/>
  <c r="AB668" i="1"/>
  <c r="AC668" i="1"/>
  <c r="AC669" i="1"/>
  <c r="AB669" i="1"/>
  <c r="AC679" i="1"/>
  <c r="AB679" i="1"/>
  <c r="AC667" i="1"/>
  <c r="AB667" i="1"/>
  <c r="AC681" i="1"/>
  <c r="AB681" i="1"/>
  <c r="AC675" i="1"/>
  <c r="AB675" i="1"/>
  <c r="AC671" i="1"/>
  <c r="AB671" i="1"/>
  <c r="AC676" i="1"/>
  <c r="AB676" i="1"/>
  <c r="AC670" i="1"/>
  <c r="AB670" i="1"/>
  <c r="AC680" i="1"/>
  <c r="AB680" i="1"/>
  <c r="AC677" i="1"/>
  <c r="AB677" i="1"/>
  <c r="AC672" i="1"/>
  <c r="AB672" i="1"/>
  <c r="AC673" i="1"/>
  <c r="AB673" i="1"/>
  <c r="AC665" i="1"/>
  <c r="AB580" i="1"/>
  <c r="AB660" i="1"/>
  <c r="AB640" i="1"/>
  <c r="AD620" i="1"/>
  <c r="AC600" i="1"/>
  <c r="AC580" i="1"/>
  <c r="AC660" i="1"/>
  <c r="AC640" i="1"/>
  <c r="AB620" i="1"/>
  <c r="AD600" i="1"/>
  <c r="AD660" i="1"/>
  <c r="AD640" i="1"/>
  <c r="AC620" i="1"/>
  <c r="AB600" i="1"/>
  <c r="AD580" i="1"/>
  <c r="AC560" i="1"/>
  <c r="AD560" i="1"/>
  <c r="AC540" i="1"/>
  <c r="AB560" i="1"/>
  <c r="AD540" i="1"/>
  <c r="AB540" i="1"/>
  <c r="AB651" i="1"/>
  <c r="AB631" i="1"/>
  <c r="AD611" i="1"/>
  <c r="AC591" i="1"/>
  <c r="AC651" i="1"/>
  <c r="AC631" i="1"/>
  <c r="AB611" i="1"/>
  <c r="AD591" i="1"/>
  <c r="AC571" i="1"/>
  <c r="AD651" i="1"/>
  <c r="AD631" i="1"/>
  <c r="AC611" i="1"/>
  <c r="AB591" i="1"/>
  <c r="AD571" i="1"/>
  <c r="AB571" i="1"/>
  <c r="AC551" i="1"/>
  <c r="AD551" i="1"/>
  <c r="AB551" i="1"/>
  <c r="AD531" i="1"/>
  <c r="AC531" i="1"/>
  <c r="AB531" i="1"/>
  <c r="AB617" i="1"/>
  <c r="AC637" i="1"/>
  <c r="AD657" i="1"/>
  <c r="AD637" i="1"/>
  <c r="AC617" i="1"/>
  <c r="AB597" i="1"/>
  <c r="AD577" i="1"/>
  <c r="AC577" i="1"/>
  <c r="AC657" i="1"/>
  <c r="AB577" i="1"/>
  <c r="AD597" i="1"/>
  <c r="AB657" i="1"/>
  <c r="AB637" i="1"/>
  <c r="AD617" i="1"/>
  <c r="AC597" i="1"/>
  <c r="AD557" i="1"/>
  <c r="AC557" i="1"/>
  <c r="AB537" i="1"/>
  <c r="AC537" i="1"/>
  <c r="AB557" i="1"/>
  <c r="AD537" i="1"/>
  <c r="AD646" i="1"/>
  <c r="AD626" i="1"/>
  <c r="AC606" i="1"/>
  <c r="AB586" i="1"/>
  <c r="AD566" i="1"/>
  <c r="AB566" i="1"/>
  <c r="AB646" i="1"/>
  <c r="AB626" i="1"/>
  <c r="AD606" i="1"/>
  <c r="AC586" i="1"/>
  <c r="AC646" i="1"/>
  <c r="AC626" i="1"/>
  <c r="AB606" i="1"/>
  <c r="AD586" i="1"/>
  <c r="AC566" i="1"/>
  <c r="AD546" i="1"/>
  <c r="AC546" i="1"/>
  <c r="AC526" i="1"/>
  <c r="AB546" i="1"/>
  <c r="AD526" i="1"/>
  <c r="AB526" i="1"/>
  <c r="AB589" i="1"/>
  <c r="AB569" i="1"/>
  <c r="AD629" i="1"/>
  <c r="AB649" i="1"/>
  <c r="AB629" i="1"/>
  <c r="AD609" i="1"/>
  <c r="AC589" i="1"/>
  <c r="AC609" i="1"/>
  <c r="AD649" i="1"/>
  <c r="AC649" i="1"/>
  <c r="AC629" i="1"/>
  <c r="AB609" i="1"/>
  <c r="AD589" i="1"/>
  <c r="AC569" i="1"/>
  <c r="AD569" i="1"/>
  <c r="AD549" i="1"/>
  <c r="AC549" i="1"/>
  <c r="AC529" i="1"/>
  <c r="AB549" i="1"/>
  <c r="AD529" i="1"/>
  <c r="AB529" i="1"/>
  <c r="AC652" i="1"/>
  <c r="AC632" i="1"/>
  <c r="AB612" i="1"/>
  <c r="AD592" i="1"/>
  <c r="AC572" i="1"/>
  <c r="AD572" i="1"/>
  <c r="AB572" i="1"/>
  <c r="AD652" i="1"/>
  <c r="AD632" i="1"/>
  <c r="AC612" i="1"/>
  <c r="AB592" i="1"/>
  <c r="AB652" i="1"/>
  <c r="AB632" i="1"/>
  <c r="AD612" i="1"/>
  <c r="AC592" i="1"/>
  <c r="AC552" i="1"/>
  <c r="AD552" i="1"/>
  <c r="AB552" i="1"/>
  <c r="AD532" i="1"/>
  <c r="AB532" i="1"/>
  <c r="AC532" i="1"/>
  <c r="AD656" i="1"/>
  <c r="AD636" i="1"/>
  <c r="AC616" i="1"/>
  <c r="AB596" i="1"/>
  <c r="AD576" i="1"/>
  <c r="AB576" i="1"/>
  <c r="AB656" i="1"/>
  <c r="AB636" i="1"/>
  <c r="AD616" i="1"/>
  <c r="AC596" i="1"/>
  <c r="AC656" i="1"/>
  <c r="AC636" i="1"/>
  <c r="AB616" i="1"/>
  <c r="AD596" i="1"/>
  <c r="AC576" i="1"/>
  <c r="AD556" i="1"/>
  <c r="AC556" i="1"/>
  <c r="AB536" i="1"/>
  <c r="AC536" i="1"/>
  <c r="AB556" i="1"/>
  <c r="AD536" i="1"/>
  <c r="AD658" i="1"/>
  <c r="AD638" i="1"/>
  <c r="AC618" i="1"/>
  <c r="AB598" i="1"/>
  <c r="AD578" i="1"/>
  <c r="AB578" i="1"/>
  <c r="AB658" i="1"/>
  <c r="AB638" i="1"/>
  <c r="AD618" i="1"/>
  <c r="AC598" i="1"/>
  <c r="AC658" i="1"/>
  <c r="AC638" i="1"/>
  <c r="AB618" i="1"/>
  <c r="AD598" i="1"/>
  <c r="AC578" i="1"/>
  <c r="AD558" i="1"/>
  <c r="AC558" i="1"/>
  <c r="AC538" i="1"/>
  <c r="AB558" i="1"/>
  <c r="AD538" i="1"/>
  <c r="AB538" i="1"/>
  <c r="AB568" i="1"/>
  <c r="AB648" i="1"/>
  <c r="AB628" i="1"/>
  <c r="AD608" i="1"/>
  <c r="AC588" i="1"/>
  <c r="AC648" i="1"/>
  <c r="AC628" i="1"/>
  <c r="AB608" i="1"/>
  <c r="AD588" i="1"/>
  <c r="AC568" i="1"/>
  <c r="AD648" i="1"/>
  <c r="AD628" i="1"/>
  <c r="AC608" i="1"/>
  <c r="AB588" i="1"/>
  <c r="AD568" i="1"/>
  <c r="AD548" i="1"/>
  <c r="AC548" i="1"/>
  <c r="AC528" i="1"/>
  <c r="AB548" i="1"/>
  <c r="AD528" i="1"/>
  <c r="AB528" i="1"/>
  <c r="AC654" i="1"/>
  <c r="AC634" i="1"/>
  <c r="AB614" i="1"/>
  <c r="AD594" i="1"/>
  <c r="AC574" i="1"/>
  <c r="AD654" i="1"/>
  <c r="AD634" i="1"/>
  <c r="AC614" i="1"/>
  <c r="AB594" i="1"/>
  <c r="AD574" i="1"/>
  <c r="AB574" i="1"/>
  <c r="AB654" i="1"/>
  <c r="AB634" i="1"/>
  <c r="AD614" i="1"/>
  <c r="AC594" i="1"/>
  <c r="AD554" i="1"/>
  <c r="AC554" i="1"/>
  <c r="AB534" i="1"/>
  <c r="AC534" i="1"/>
  <c r="AB554" i="1"/>
  <c r="AD534" i="1"/>
  <c r="AC655" i="1"/>
  <c r="AC635" i="1"/>
  <c r="AB615" i="1"/>
  <c r="AD595" i="1"/>
  <c r="AC575" i="1"/>
  <c r="AD655" i="1"/>
  <c r="AD635" i="1"/>
  <c r="AC615" i="1"/>
  <c r="AB595" i="1"/>
  <c r="AD575" i="1"/>
  <c r="AB575" i="1"/>
  <c r="AB655" i="1"/>
  <c r="AB635" i="1"/>
  <c r="AD615" i="1"/>
  <c r="AC595" i="1"/>
  <c r="AD555" i="1"/>
  <c r="AC555" i="1"/>
  <c r="AB535" i="1"/>
  <c r="AC535" i="1"/>
  <c r="AB555" i="1"/>
  <c r="AD535" i="1"/>
  <c r="AD585" i="1"/>
  <c r="AD645" i="1"/>
  <c r="AD625" i="1"/>
  <c r="AC605" i="1"/>
  <c r="AB585" i="1"/>
  <c r="AD565" i="1"/>
  <c r="AB605" i="1"/>
  <c r="AB565" i="1"/>
  <c r="AC625" i="1"/>
  <c r="AB645" i="1"/>
  <c r="AB625" i="1"/>
  <c r="AD605" i="1"/>
  <c r="AC585" i="1"/>
  <c r="AC645" i="1"/>
  <c r="AC565" i="1"/>
  <c r="AD545" i="1"/>
  <c r="AC545" i="1"/>
  <c r="AB525" i="1"/>
  <c r="AC525" i="1"/>
  <c r="AB545" i="1"/>
  <c r="AD525" i="1"/>
  <c r="AB570" i="1"/>
  <c r="AB650" i="1"/>
  <c r="AB630" i="1"/>
  <c r="AD610" i="1"/>
  <c r="AC590" i="1"/>
  <c r="AC650" i="1"/>
  <c r="AC630" i="1"/>
  <c r="AB610" i="1"/>
  <c r="AD590" i="1"/>
  <c r="AC570" i="1"/>
  <c r="AD650" i="1"/>
  <c r="AD630" i="1"/>
  <c r="AC610" i="1"/>
  <c r="AB590" i="1"/>
  <c r="AD570" i="1"/>
  <c r="AC550" i="1"/>
  <c r="AD550" i="1"/>
  <c r="AB550" i="1"/>
  <c r="AD530" i="1"/>
  <c r="AB530" i="1"/>
  <c r="AC530" i="1"/>
  <c r="AB581" i="1"/>
  <c r="AC621" i="1"/>
  <c r="AB661" i="1"/>
  <c r="AB641" i="1"/>
  <c r="AD621" i="1"/>
  <c r="AC601" i="1"/>
  <c r="AD581" i="1"/>
  <c r="AB601" i="1"/>
  <c r="AD641" i="1"/>
  <c r="AC661" i="1"/>
  <c r="AC641" i="1"/>
  <c r="AB621" i="1"/>
  <c r="AD601" i="1"/>
  <c r="AC581" i="1"/>
  <c r="AD661" i="1"/>
  <c r="AD561" i="1"/>
  <c r="AC561" i="1"/>
  <c r="AC541" i="1"/>
  <c r="AB561" i="1"/>
  <c r="AD541" i="1"/>
  <c r="AB541" i="1"/>
  <c r="AB582" i="1"/>
  <c r="AB662" i="1"/>
  <c r="AB642" i="1"/>
  <c r="AD622" i="1"/>
  <c r="AC602" i="1"/>
  <c r="AC662" i="1"/>
  <c r="AC642" i="1"/>
  <c r="AB622" i="1"/>
  <c r="AD602" i="1"/>
  <c r="AC582" i="1"/>
  <c r="AD662" i="1"/>
  <c r="AD642" i="1"/>
  <c r="AC622" i="1"/>
  <c r="AB602" i="1"/>
  <c r="AD582" i="1"/>
  <c r="AC562" i="1"/>
  <c r="AD562" i="1"/>
  <c r="AB562" i="1"/>
  <c r="AD542" i="1"/>
  <c r="AB542" i="1"/>
  <c r="AC542" i="1"/>
  <c r="AD647" i="1"/>
  <c r="AD627" i="1"/>
  <c r="AC607" i="1"/>
  <c r="AB587" i="1"/>
  <c r="AD567" i="1"/>
  <c r="AB567" i="1"/>
  <c r="AB647" i="1"/>
  <c r="AB627" i="1"/>
  <c r="AD607" i="1"/>
  <c r="AC587" i="1"/>
  <c r="AC567" i="1"/>
  <c r="AC647" i="1"/>
  <c r="AC627" i="1"/>
  <c r="AB607" i="1"/>
  <c r="AD587" i="1"/>
  <c r="AC547" i="1"/>
  <c r="AD547" i="1"/>
  <c r="AC527" i="1"/>
  <c r="AB527" i="1"/>
  <c r="AB547" i="1"/>
  <c r="AD527" i="1"/>
  <c r="AD659" i="1"/>
  <c r="AD639" i="1"/>
  <c r="AC619" i="1"/>
  <c r="AB599" i="1"/>
  <c r="AD579" i="1"/>
  <c r="AB579" i="1"/>
  <c r="AB659" i="1"/>
  <c r="AB639" i="1"/>
  <c r="AD619" i="1"/>
  <c r="AC599" i="1"/>
  <c r="AC659" i="1"/>
  <c r="AC639" i="1"/>
  <c r="AB619" i="1"/>
  <c r="AD599" i="1"/>
  <c r="AC579" i="1"/>
  <c r="AD559" i="1"/>
  <c r="AC559" i="1"/>
  <c r="AC539" i="1"/>
  <c r="AB539" i="1"/>
  <c r="AB559" i="1"/>
  <c r="AD539" i="1"/>
  <c r="AC653" i="1"/>
  <c r="AC633" i="1"/>
  <c r="AB613" i="1"/>
  <c r="AD593" i="1"/>
  <c r="AC573" i="1"/>
  <c r="AD613" i="1"/>
  <c r="AB633" i="1"/>
  <c r="AD653" i="1"/>
  <c r="AD633" i="1"/>
  <c r="AC613" i="1"/>
  <c r="AB593" i="1"/>
  <c r="AD573" i="1"/>
  <c r="AB653" i="1"/>
  <c r="AC593" i="1"/>
  <c r="AB573" i="1"/>
  <c r="AD553" i="1"/>
  <c r="AC553" i="1"/>
  <c r="AB553" i="1"/>
  <c r="AD533" i="1"/>
  <c r="AB533" i="1"/>
  <c r="AC533" i="1"/>
  <c r="AB511" i="1"/>
  <c r="AB491" i="1"/>
  <c r="AC511" i="1"/>
  <c r="AC491" i="1"/>
  <c r="AD471" i="1"/>
  <c r="AB471" i="1"/>
  <c r="AD511" i="1"/>
  <c r="AD491" i="1"/>
  <c r="AC471" i="1"/>
  <c r="AD475" i="1"/>
  <c r="AB475" i="1"/>
  <c r="AC515" i="1"/>
  <c r="AC495" i="1"/>
  <c r="AD515" i="1"/>
  <c r="AD495" i="1"/>
  <c r="AC475" i="1"/>
  <c r="AB515" i="1"/>
  <c r="AB495" i="1"/>
  <c r="AC469" i="1"/>
  <c r="AB509" i="1"/>
  <c r="AB489" i="1"/>
  <c r="AC509" i="1"/>
  <c r="AC489" i="1"/>
  <c r="AD469" i="1"/>
  <c r="AB469" i="1"/>
  <c r="AD509" i="1"/>
  <c r="AD489" i="1"/>
  <c r="AC516" i="1"/>
  <c r="AC496" i="1"/>
  <c r="AD476" i="1"/>
  <c r="AB476" i="1"/>
  <c r="AD516" i="1"/>
  <c r="AD496" i="1"/>
  <c r="AC476" i="1"/>
  <c r="AB516" i="1"/>
  <c r="AB496" i="1"/>
  <c r="AB466" i="1"/>
  <c r="AD506" i="1"/>
  <c r="AD486" i="1"/>
  <c r="AB506" i="1"/>
  <c r="AB486" i="1"/>
  <c r="AC486" i="1"/>
  <c r="AD466" i="1"/>
  <c r="AC506" i="1"/>
  <c r="AC466" i="1"/>
  <c r="AD519" i="1"/>
  <c r="AD499" i="1"/>
  <c r="AC479" i="1"/>
  <c r="AB519" i="1"/>
  <c r="AB499" i="1"/>
  <c r="AD479" i="1"/>
  <c r="AB479" i="1"/>
  <c r="AC519" i="1"/>
  <c r="AC499" i="1"/>
  <c r="AD517" i="1"/>
  <c r="AD497" i="1"/>
  <c r="AC477" i="1"/>
  <c r="AB517" i="1"/>
  <c r="AB497" i="1"/>
  <c r="AC517" i="1"/>
  <c r="AC497" i="1"/>
  <c r="AD477" i="1"/>
  <c r="AB477" i="1"/>
  <c r="AD508" i="1"/>
  <c r="AD488" i="1"/>
  <c r="AC468" i="1"/>
  <c r="AB508" i="1"/>
  <c r="AB488" i="1"/>
  <c r="AC508" i="1"/>
  <c r="AC488" i="1"/>
  <c r="AD468" i="1"/>
  <c r="AB468" i="1"/>
  <c r="AD474" i="1"/>
  <c r="AB474" i="1"/>
  <c r="AC514" i="1"/>
  <c r="AC494" i="1"/>
  <c r="AB494" i="1"/>
  <c r="AD514" i="1"/>
  <c r="AD494" i="1"/>
  <c r="AC474" i="1"/>
  <c r="AB514" i="1"/>
  <c r="AB465" i="1"/>
  <c r="AD505" i="1"/>
  <c r="AD485" i="1"/>
  <c r="AB505" i="1"/>
  <c r="AB485" i="1"/>
  <c r="AD465" i="1"/>
  <c r="AC505" i="1"/>
  <c r="AC485" i="1"/>
  <c r="AC465" i="1"/>
  <c r="AD518" i="1"/>
  <c r="AD498" i="1"/>
  <c r="AC478" i="1"/>
  <c r="AB518" i="1"/>
  <c r="AB498" i="1"/>
  <c r="AC498" i="1"/>
  <c r="AC518" i="1"/>
  <c r="AD478" i="1"/>
  <c r="AB478" i="1"/>
  <c r="AC470" i="1"/>
  <c r="AB510" i="1"/>
  <c r="AB490" i="1"/>
  <c r="AD490" i="1"/>
  <c r="AD470" i="1"/>
  <c r="AB470" i="1"/>
  <c r="AC510" i="1"/>
  <c r="AC490" i="1"/>
  <c r="AD510" i="1"/>
  <c r="AD507" i="1"/>
  <c r="AD487" i="1"/>
  <c r="AC467" i="1"/>
  <c r="AB507" i="1"/>
  <c r="AB487" i="1"/>
  <c r="AD467" i="1"/>
  <c r="AC507" i="1"/>
  <c r="AC487" i="1"/>
  <c r="AB467" i="1"/>
  <c r="AC481" i="1"/>
  <c r="AB521" i="1"/>
  <c r="AB501" i="1"/>
  <c r="AC521" i="1"/>
  <c r="AC501" i="1"/>
  <c r="AD481" i="1"/>
  <c r="AB481" i="1"/>
  <c r="AD521" i="1"/>
  <c r="AD501" i="1"/>
  <c r="AC513" i="1"/>
  <c r="AC493" i="1"/>
  <c r="AD473" i="1"/>
  <c r="AB473" i="1"/>
  <c r="AD513" i="1"/>
  <c r="AD493" i="1"/>
  <c r="AC473" i="1"/>
  <c r="AB513" i="1"/>
  <c r="AB493" i="1"/>
  <c r="AD520" i="1"/>
  <c r="AD500" i="1"/>
  <c r="AC480" i="1"/>
  <c r="AB520" i="1"/>
  <c r="AB500" i="1"/>
  <c r="AC520" i="1"/>
  <c r="AC500" i="1"/>
  <c r="AD480" i="1"/>
  <c r="AB480" i="1"/>
  <c r="AC482" i="1"/>
  <c r="AB522" i="1"/>
  <c r="AB502" i="1"/>
  <c r="AD482" i="1"/>
  <c r="AB482" i="1"/>
  <c r="AC522" i="1"/>
  <c r="AC502" i="1"/>
  <c r="AD502" i="1"/>
  <c r="AD522" i="1"/>
  <c r="AB512" i="1"/>
  <c r="AB492" i="1"/>
  <c r="AC512" i="1"/>
  <c r="AC492" i="1"/>
  <c r="AD472" i="1"/>
  <c r="AB472" i="1"/>
  <c r="AD512" i="1"/>
  <c r="AD492" i="1"/>
  <c r="AC472" i="1"/>
  <c r="AB46" i="1"/>
  <c r="AD49" i="1"/>
  <c r="AD411" i="1"/>
  <c r="AB411" i="1"/>
  <c r="AC411" i="1"/>
  <c r="AC391" i="1"/>
  <c r="AD391" i="1"/>
  <c r="AB391" i="1"/>
  <c r="AC409" i="1"/>
  <c r="AD409" i="1"/>
  <c r="AB409" i="1"/>
  <c r="AD389" i="1"/>
  <c r="AB389" i="1"/>
  <c r="AC389" i="1"/>
  <c r="AB415" i="1"/>
  <c r="AC415" i="1"/>
  <c r="AD415" i="1"/>
  <c r="AB395" i="1"/>
  <c r="AC395" i="1"/>
  <c r="AD395" i="1"/>
  <c r="AB416" i="1"/>
  <c r="AC416" i="1"/>
  <c r="AD416" i="1"/>
  <c r="AB396" i="1"/>
  <c r="AD396" i="1"/>
  <c r="AC396" i="1"/>
  <c r="AB406" i="1"/>
  <c r="AC406" i="1"/>
  <c r="AD406" i="1"/>
  <c r="AB386" i="1"/>
  <c r="AC386" i="1"/>
  <c r="AD386" i="1"/>
  <c r="AC419" i="1"/>
  <c r="AD419" i="1"/>
  <c r="AB419" i="1"/>
  <c r="AC399" i="1"/>
  <c r="AB399" i="1"/>
  <c r="AD399" i="1"/>
  <c r="AB417" i="1"/>
  <c r="AC417" i="1"/>
  <c r="AD417" i="1"/>
  <c r="AB397" i="1"/>
  <c r="AC397" i="1"/>
  <c r="AD397" i="1"/>
  <c r="AC408" i="1"/>
  <c r="AD408" i="1"/>
  <c r="AB408" i="1"/>
  <c r="AC388" i="1"/>
  <c r="AB388" i="1"/>
  <c r="AD388" i="1"/>
  <c r="AC422" i="1"/>
  <c r="AD422" i="1"/>
  <c r="AB422" i="1"/>
  <c r="AC402" i="1"/>
  <c r="AB402" i="1"/>
  <c r="AD402" i="1"/>
  <c r="AD412" i="1"/>
  <c r="AB412" i="1"/>
  <c r="AC412" i="1"/>
  <c r="AD392" i="1"/>
  <c r="AB392" i="1"/>
  <c r="AC392" i="1"/>
  <c r="AC421" i="1"/>
  <c r="AD421" i="1"/>
  <c r="AB421" i="1"/>
  <c r="AC401" i="1"/>
  <c r="AD401" i="1"/>
  <c r="AB401" i="1"/>
  <c r="AD414" i="1"/>
  <c r="AB414" i="1"/>
  <c r="AC414" i="1"/>
  <c r="AB394" i="1"/>
  <c r="AD394" i="1"/>
  <c r="AC394" i="1"/>
  <c r="AB405" i="1"/>
  <c r="AC405" i="1"/>
  <c r="AD405" i="1"/>
  <c r="AB385" i="1"/>
  <c r="AD385" i="1"/>
  <c r="AC385" i="1"/>
  <c r="AB418" i="1"/>
  <c r="AC418" i="1"/>
  <c r="AD418" i="1"/>
  <c r="AB398" i="1"/>
  <c r="AC398" i="1"/>
  <c r="AD398" i="1"/>
  <c r="AC420" i="1"/>
  <c r="AD420" i="1"/>
  <c r="AB420" i="1"/>
  <c r="AC400" i="1"/>
  <c r="AD400" i="1"/>
  <c r="AB400" i="1"/>
  <c r="AC410" i="1"/>
  <c r="AD410" i="1"/>
  <c r="AB410" i="1"/>
  <c r="AD390" i="1"/>
  <c r="AB390" i="1"/>
  <c r="AC390" i="1"/>
  <c r="AC407" i="1"/>
  <c r="AD407" i="1"/>
  <c r="AB407" i="1"/>
  <c r="AC387" i="1"/>
  <c r="AD387" i="1"/>
  <c r="AB387" i="1"/>
  <c r="AD413" i="1"/>
  <c r="AB413" i="1"/>
  <c r="AC413" i="1"/>
  <c r="AB393" i="1"/>
  <c r="AD393" i="1"/>
  <c r="AC393" i="1"/>
  <c r="AB367" i="1"/>
  <c r="AD367" i="1"/>
  <c r="AC367" i="1"/>
  <c r="AB347" i="1"/>
  <c r="AC347" i="1"/>
  <c r="AD347" i="1"/>
  <c r="AB327" i="1"/>
  <c r="AC327" i="1"/>
  <c r="AC307" i="1"/>
  <c r="AB307" i="1"/>
  <c r="AD327" i="1"/>
  <c r="AD307" i="1"/>
  <c r="AD287" i="1"/>
  <c r="AB267" i="1"/>
  <c r="AB247" i="1"/>
  <c r="AC227" i="1"/>
  <c r="AB287" i="1"/>
  <c r="AC267" i="1"/>
  <c r="AB227" i="1"/>
  <c r="AC247" i="1"/>
  <c r="AD227" i="1"/>
  <c r="AC287" i="1"/>
  <c r="AD267" i="1"/>
  <c r="AD247" i="1"/>
  <c r="AC207" i="1"/>
  <c r="AD207" i="1"/>
  <c r="AC187" i="1"/>
  <c r="AD187" i="1"/>
  <c r="AB187" i="1"/>
  <c r="AB382" i="1"/>
  <c r="AC382" i="1"/>
  <c r="AD382" i="1"/>
  <c r="AC362" i="1"/>
  <c r="AD362" i="1"/>
  <c r="AB362" i="1"/>
  <c r="AC322" i="1"/>
  <c r="AC342" i="1"/>
  <c r="AD322" i="1"/>
  <c r="AD342" i="1"/>
  <c r="AB322" i="1"/>
  <c r="AB342" i="1"/>
  <c r="AC242" i="1"/>
  <c r="AB302" i="1"/>
  <c r="AC282" i="1"/>
  <c r="AB282" i="1"/>
  <c r="AC262" i="1"/>
  <c r="AD242" i="1"/>
  <c r="AB262" i="1"/>
  <c r="AC302" i="1"/>
  <c r="AD282" i="1"/>
  <c r="AD262" i="1"/>
  <c r="AB242" i="1"/>
  <c r="AD302" i="1"/>
  <c r="AC222" i="1"/>
  <c r="AD222" i="1"/>
  <c r="AB222" i="1"/>
  <c r="AD202" i="1"/>
  <c r="AB202" i="1"/>
  <c r="AC202" i="1"/>
  <c r="AC372" i="1"/>
  <c r="AD372" i="1"/>
  <c r="AB372" i="1"/>
  <c r="AC352" i="1"/>
  <c r="AD352" i="1"/>
  <c r="AB352" i="1"/>
  <c r="AD332" i="1"/>
  <c r="AD312" i="1"/>
  <c r="AC332" i="1"/>
  <c r="AB312" i="1"/>
  <c r="AB332" i="1"/>
  <c r="AC312" i="1"/>
  <c r="AC272" i="1"/>
  <c r="AC252" i="1"/>
  <c r="AD232" i="1"/>
  <c r="AC292" i="1"/>
  <c r="AD272" i="1"/>
  <c r="AD252" i="1"/>
  <c r="AB232" i="1"/>
  <c r="AD292" i="1"/>
  <c r="AB272" i="1"/>
  <c r="AB292" i="1"/>
  <c r="AB252" i="1"/>
  <c r="AC232" i="1"/>
  <c r="AD212" i="1"/>
  <c r="AB212" i="1"/>
  <c r="AC212" i="1"/>
  <c r="AD192" i="1"/>
  <c r="AB192" i="1"/>
  <c r="AC192" i="1"/>
  <c r="AB381" i="1"/>
  <c r="AC381" i="1"/>
  <c r="AD381" i="1"/>
  <c r="AB361" i="1"/>
  <c r="AC361" i="1"/>
  <c r="AD361" i="1"/>
  <c r="AC341" i="1"/>
  <c r="AC321" i="1"/>
  <c r="AD341" i="1"/>
  <c r="AD321" i="1"/>
  <c r="AB321" i="1"/>
  <c r="AB341" i="1"/>
  <c r="AB281" i="1"/>
  <c r="AB261" i="1"/>
  <c r="AC241" i="1"/>
  <c r="AB301" i="1"/>
  <c r="AC281" i="1"/>
  <c r="AC261" i="1"/>
  <c r="AD241" i="1"/>
  <c r="AC301" i="1"/>
  <c r="AD281" i="1"/>
  <c r="AD261" i="1"/>
  <c r="AB241" i="1"/>
  <c r="AD301" i="1"/>
  <c r="AB221" i="1"/>
  <c r="AC221" i="1"/>
  <c r="AD221" i="1"/>
  <c r="AD201" i="1"/>
  <c r="AB201" i="1"/>
  <c r="AC201" i="1"/>
  <c r="AD375" i="1"/>
  <c r="AC375" i="1"/>
  <c r="AB375" i="1"/>
  <c r="AD355" i="1"/>
  <c r="AB355" i="1"/>
  <c r="AC355" i="1"/>
  <c r="AD335" i="1"/>
  <c r="AD315" i="1"/>
  <c r="AB315" i="1"/>
  <c r="AB335" i="1"/>
  <c r="AC335" i="1"/>
  <c r="AC315" i="1"/>
  <c r="AC295" i="1"/>
  <c r="AD275" i="1"/>
  <c r="AD255" i="1"/>
  <c r="AB235" i="1"/>
  <c r="AD295" i="1"/>
  <c r="AB275" i="1"/>
  <c r="AD235" i="1"/>
  <c r="AB255" i="1"/>
  <c r="AC235" i="1"/>
  <c r="AB295" i="1"/>
  <c r="AC275" i="1"/>
  <c r="AC255" i="1"/>
  <c r="AD215" i="1"/>
  <c r="AB215" i="1"/>
  <c r="AC215" i="1"/>
  <c r="AB195" i="1"/>
  <c r="AC195" i="1"/>
  <c r="AD195" i="1"/>
  <c r="AC371" i="1"/>
  <c r="AB371" i="1"/>
  <c r="AD371" i="1"/>
  <c r="AC351" i="1"/>
  <c r="AD351" i="1"/>
  <c r="AB351" i="1"/>
  <c r="AC331" i="1"/>
  <c r="AC311" i="1"/>
  <c r="AD331" i="1"/>
  <c r="AD311" i="1"/>
  <c r="AB311" i="1"/>
  <c r="AB331" i="1"/>
  <c r="AB291" i="1"/>
  <c r="AC271" i="1"/>
  <c r="AC251" i="1"/>
  <c r="AD231" i="1"/>
  <c r="AC291" i="1"/>
  <c r="AD271" i="1"/>
  <c r="AD251" i="1"/>
  <c r="AB231" i="1"/>
  <c r="AD291" i="1"/>
  <c r="AB271" i="1"/>
  <c r="AB251" i="1"/>
  <c r="AC231" i="1"/>
  <c r="AC211" i="1"/>
  <c r="AD211" i="1"/>
  <c r="AB211" i="1"/>
  <c r="AD191" i="1"/>
  <c r="AB191" i="1"/>
  <c r="AC191" i="1"/>
  <c r="AB379" i="1"/>
  <c r="AD379" i="1"/>
  <c r="AC379" i="1"/>
  <c r="AB359" i="1"/>
  <c r="AC359" i="1"/>
  <c r="AD359" i="1"/>
  <c r="AB339" i="1"/>
  <c r="AC339" i="1"/>
  <c r="AC319" i="1"/>
  <c r="AD339" i="1"/>
  <c r="AD319" i="1"/>
  <c r="AB319" i="1"/>
  <c r="AD299" i="1"/>
  <c r="AB239" i="1"/>
  <c r="AB279" i="1"/>
  <c r="AB259" i="1"/>
  <c r="AC239" i="1"/>
  <c r="AB299" i="1"/>
  <c r="AC279" i="1"/>
  <c r="AC259" i="1"/>
  <c r="AD239" i="1"/>
  <c r="AC299" i="1"/>
  <c r="AD279" i="1"/>
  <c r="AD259" i="1"/>
  <c r="AC219" i="1"/>
  <c r="AB219" i="1"/>
  <c r="AD219" i="1"/>
  <c r="AC199" i="1"/>
  <c r="AD199" i="1"/>
  <c r="AB199" i="1"/>
  <c r="AC374" i="1"/>
  <c r="AD374" i="1"/>
  <c r="AB374" i="1"/>
  <c r="AD354" i="1"/>
  <c r="AB354" i="1"/>
  <c r="AC354" i="1"/>
  <c r="AD334" i="1"/>
  <c r="AD314" i="1"/>
  <c r="AB314" i="1"/>
  <c r="AB334" i="1"/>
  <c r="AC334" i="1"/>
  <c r="AC314" i="1"/>
  <c r="AD234" i="1"/>
  <c r="AC294" i="1"/>
  <c r="AD274" i="1"/>
  <c r="AD254" i="1"/>
  <c r="AB234" i="1"/>
  <c r="AD294" i="1"/>
  <c r="AB274" i="1"/>
  <c r="AB254" i="1"/>
  <c r="AC234" i="1"/>
  <c r="AB294" i="1"/>
  <c r="AC274" i="1"/>
  <c r="AC254" i="1"/>
  <c r="AD214" i="1"/>
  <c r="AB214" i="1"/>
  <c r="AC214" i="1"/>
  <c r="AB194" i="1"/>
  <c r="AC194" i="1"/>
  <c r="AD194" i="1"/>
  <c r="AD377" i="1"/>
  <c r="AB377" i="1"/>
  <c r="AC377" i="1"/>
  <c r="AD357" i="1"/>
  <c r="AB357" i="1"/>
  <c r="AC357" i="1"/>
  <c r="AB317" i="1"/>
  <c r="AB337" i="1"/>
  <c r="AC317" i="1"/>
  <c r="AC337" i="1"/>
  <c r="AD337" i="1"/>
  <c r="AD317" i="1"/>
  <c r="AD257" i="1"/>
  <c r="AB237" i="1"/>
  <c r="AD297" i="1"/>
  <c r="AB277" i="1"/>
  <c r="AD277" i="1"/>
  <c r="AB257" i="1"/>
  <c r="AC237" i="1"/>
  <c r="AB297" i="1"/>
  <c r="AC277" i="1"/>
  <c r="AC297" i="1"/>
  <c r="AC257" i="1"/>
  <c r="AD237" i="1"/>
  <c r="AD217" i="1"/>
  <c r="AB217" i="1"/>
  <c r="AC217" i="1"/>
  <c r="AC197" i="1"/>
  <c r="AD197" i="1"/>
  <c r="AB197" i="1"/>
  <c r="AD376" i="1"/>
  <c r="AB376" i="1"/>
  <c r="AC376" i="1"/>
  <c r="AD356" i="1"/>
  <c r="AB356" i="1"/>
  <c r="AC356" i="1"/>
  <c r="AB316" i="1"/>
  <c r="AB336" i="1"/>
  <c r="AD316" i="1"/>
  <c r="AD336" i="1"/>
  <c r="AC336" i="1"/>
  <c r="AC316" i="1"/>
  <c r="AC296" i="1"/>
  <c r="AD276" i="1"/>
  <c r="AD256" i="1"/>
  <c r="AB236" i="1"/>
  <c r="AD296" i="1"/>
  <c r="AB276" i="1"/>
  <c r="AB256" i="1"/>
  <c r="AC236" i="1"/>
  <c r="AB296" i="1"/>
  <c r="AC276" i="1"/>
  <c r="AC256" i="1"/>
  <c r="AD236" i="1"/>
  <c r="AD216" i="1"/>
  <c r="AB216" i="1"/>
  <c r="AC216" i="1"/>
  <c r="AB196" i="1"/>
  <c r="AC196" i="1"/>
  <c r="AD196" i="1"/>
  <c r="AB368" i="1"/>
  <c r="AC368" i="1"/>
  <c r="AD368" i="1"/>
  <c r="AB348" i="1"/>
  <c r="AC348" i="1"/>
  <c r="AD348" i="1"/>
  <c r="AC328" i="1"/>
  <c r="AC308" i="1"/>
  <c r="AB328" i="1"/>
  <c r="AD328" i="1"/>
  <c r="AD308" i="1"/>
  <c r="AB308" i="1"/>
  <c r="AB268" i="1"/>
  <c r="AB248" i="1"/>
  <c r="AC228" i="1"/>
  <c r="AB288" i="1"/>
  <c r="AC268" i="1"/>
  <c r="AC248" i="1"/>
  <c r="AD228" i="1"/>
  <c r="AC288" i="1"/>
  <c r="AD268" i="1"/>
  <c r="AD248" i="1"/>
  <c r="AD288" i="1"/>
  <c r="AB228" i="1"/>
  <c r="AC208" i="1"/>
  <c r="AD208" i="1"/>
  <c r="AC188" i="1"/>
  <c r="AB188" i="1"/>
  <c r="AD188" i="1"/>
  <c r="AD378" i="1"/>
  <c r="AB378" i="1"/>
  <c r="AC378" i="1"/>
  <c r="AB358" i="1"/>
  <c r="AC358" i="1"/>
  <c r="AD358" i="1"/>
  <c r="AB318" i="1"/>
  <c r="AB338" i="1"/>
  <c r="AC318" i="1"/>
  <c r="AC338" i="1"/>
  <c r="AD338" i="1"/>
  <c r="AD318" i="1"/>
  <c r="AB238" i="1"/>
  <c r="AD298" i="1"/>
  <c r="AB258" i="1"/>
  <c r="AC238" i="1"/>
  <c r="AB298" i="1"/>
  <c r="AC278" i="1"/>
  <c r="AC258" i="1"/>
  <c r="AD238" i="1"/>
  <c r="AB278" i="1"/>
  <c r="AC298" i="1"/>
  <c r="AD278" i="1"/>
  <c r="AD258" i="1"/>
  <c r="AB218" i="1"/>
  <c r="AC218" i="1"/>
  <c r="AD218" i="1"/>
  <c r="AC198" i="1"/>
  <c r="AD198" i="1"/>
  <c r="AB198" i="1"/>
  <c r="AB380" i="1"/>
  <c r="AC380" i="1"/>
  <c r="AD380" i="1"/>
  <c r="AB360" i="1"/>
  <c r="AC360" i="1"/>
  <c r="AD360" i="1"/>
  <c r="AC340" i="1"/>
  <c r="AC320" i="1"/>
  <c r="AD340" i="1"/>
  <c r="AD320" i="1"/>
  <c r="AB340" i="1"/>
  <c r="AB320" i="1"/>
  <c r="AB280" i="1"/>
  <c r="AB260" i="1"/>
  <c r="AC240" i="1"/>
  <c r="AB300" i="1"/>
  <c r="AC280" i="1"/>
  <c r="AC260" i="1"/>
  <c r="AD240" i="1"/>
  <c r="AC300" i="1"/>
  <c r="AD280" i="1"/>
  <c r="AD300" i="1"/>
  <c r="AD260" i="1"/>
  <c r="AB240" i="1"/>
  <c r="AC220" i="1"/>
  <c r="AB220" i="1"/>
  <c r="AD220" i="1"/>
  <c r="AC200" i="1"/>
  <c r="AD200" i="1"/>
  <c r="AB200" i="1"/>
  <c r="AB370" i="1"/>
  <c r="AC370" i="1"/>
  <c r="AD370" i="1"/>
  <c r="AC350" i="1"/>
  <c r="AD350" i="1"/>
  <c r="AB350" i="1"/>
  <c r="AC310" i="1"/>
  <c r="AC330" i="1"/>
  <c r="AD330" i="1"/>
  <c r="AD310" i="1"/>
  <c r="AB310" i="1"/>
  <c r="AB330" i="1"/>
  <c r="AC230" i="1"/>
  <c r="AB290" i="1"/>
  <c r="AC270" i="1"/>
  <c r="AC250" i="1"/>
  <c r="AD230" i="1"/>
  <c r="AB250" i="1"/>
  <c r="AC290" i="1"/>
  <c r="AD270" i="1"/>
  <c r="AD250" i="1"/>
  <c r="AB230" i="1"/>
  <c r="AD290" i="1"/>
  <c r="AB270" i="1"/>
  <c r="AC210" i="1"/>
  <c r="AD210" i="1"/>
  <c r="AB210" i="1"/>
  <c r="AD190" i="1"/>
  <c r="AB190" i="1"/>
  <c r="AC190" i="1"/>
  <c r="AD365" i="1"/>
  <c r="AB365" i="1"/>
  <c r="AC365" i="1"/>
  <c r="AD345" i="1"/>
  <c r="AB345" i="1"/>
  <c r="AC345" i="1"/>
  <c r="AB325" i="1"/>
  <c r="AC325" i="1"/>
  <c r="AD325" i="1"/>
  <c r="AD305" i="1"/>
  <c r="AC305" i="1"/>
  <c r="AB305" i="1"/>
  <c r="AD245" i="1"/>
  <c r="AB225" i="1"/>
  <c r="AD285" i="1"/>
  <c r="AC285" i="1"/>
  <c r="AB265" i="1"/>
  <c r="AD265" i="1"/>
  <c r="AB245" i="1"/>
  <c r="AC225" i="1"/>
  <c r="AB285" i="1"/>
  <c r="AC265" i="1"/>
  <c r="AC245" i="1"/>
  <c r="AD225" i="1"/>
  <c r="AD205" i="1"/>
  <c r="AC205" i="1"/>
  <c r="AC185" i="1"/>
  <c r="AB185" i="1"/>
  <c r="AD185" i="1"/>
  <c r="AD366" i="1"/>
  <c r="AB366" i="1"/>
  <c r="AC366" i="1"/>
  <c r="AB346" i="1"/>
  <c r="AC346" i="1"/>
  <c r="AD346" i="1"/>
  <c r="AB306" i="1"/>
  <c r="AB326" i="1"/>
  <c r="AC306" i="1"/>
  <c r="AC326" i="1"/>
  <c r="AD326" i="1"/>
  <c r="AD306" i="1"/>
  <c r="AB226" i="1"/>
  <c r="AD286" i="1"/>
  <c r="AB266" i="1"/>
  <c r="AB246" i="1"/>
  <c r="AD246" i="1"/>
  <c r="AC226" i="1"/>
  <c r="AB286" i="1"/>
  <c r="AC266" i="1"/>
  <c r="AC246" i="1"/>
  <c r="AD226" i="1"/>
  <c r="AC286" i="1"/>
  <c r="AD266" i="1"/>
  <c r="AC206" i="1"/>
  <c r="AD206" i="1"/>
  <c r="AC186" i="1"/>
  <c r="AD186" i="1"/>
  <c r="AB186" i="1"/>
  <c r="AC373" i="1"/>
  <c r="AD373" i="1"/>
  <c r="AB373" i="1"/>
  <c r="AC353" i="1"/>
  <c r="AD353" i="1"/>
  <c r="AB353" i="1"/>
  <c r="AD333" i="1"/>
  <c r="AD313" i="1"/>
  <c r="AB313" i="1"/>
  <c r="AB333" i="1"/>
  <c r="AC333" i="1"/>
  <c r="AC313" i="1"/>
  <c r="AC253" i="1"/>
  <c r="AD233" i="1"/>
  <c r="AC293" i="1"/>
  <c r="AD273" i="1"/>
  <c r="AD253" i="1"/>
  <c r="AB233" i="1"/>
  <c r="AC273" i="1"/>
  <c r="AD293" i="1"/>
  <c r="AB273" i="1"/>
  <c r="AB253" i="1"/>
  <c r="AC233" i="1"/>
  <c r="AB293" i="1"/>
  <c r="AC213" i="1"/>
  <c r="AD213" i="1"/>
  <c r="AB213" i="1"/>
  <c r="AD193" i="1"/>
  <c r="AB193" i="1"/>
  <c r="AC193" i="1"/>
  <c r="AB369" i="1"/>
  <c r="AC369" i="1"/>
  <c r="AD369" i="1"/>
  <c r="AB349" i="1"/>
  <c r="AC349" i="1"/>
  <c r="AD349" i="1"/>
  <c r="AC329" i="1"/>
  <c r="AC309" i="1"/>
  <c r="AD329" i="1"/>
  <c r="AD309" i="1"/>
  <c r="AB309" i="1"/>
  <c r="AB329" i="1"/>
  <c r="AB249" i="1"/>
  <c r="AC229" i="1"/>
  <c r="AB289" i="1"/>
  <c r="AB269" i="1"/>
  <c r="AC269" i="1"/>
  <c r="AC249" i="1"/>
  <c r="AD229" i="1"/>
  <c r="AC289" i="1"/>
  <c r="AD269" i="1"/>
  <c r="AD249" i="1"/>
  <c r="AB229" i="1"/>
  <c r="AD289" i="1"/>
  <c r="AB209" i="1"/>
  <c r="AC209" i="1"/>
  <c r="AD209" i="1"/>
  <c r="AD189" i="1"/>
  <c r="AB189" i="1"/>
  <c r="AC189" i="1"/>
  <c r="AB88" i="1"/>
  <c r="AC91" i="1"/>
  <c r="AD91" i="1"/>
  <c r="AB91" i="1"/>
  <c r="AD71" i="1"/>
  <c r="AB71" i="1"/>
  <c r="AC71" i="1"/>
  <c r="AD51" i="1"/>
  <c r="AC89" i="1"/>
  <c r="AD89" i="1"/>
  <c r="AB89" i="1"/>
  <c r="AC69" i="1"/>
  <c r="AD69" i="1"/>
  <c r="AB69" i="1"/>
  <c r="AB86" i="1"/>
  <c r="AC86" i="1"/>
  <c r="AD86" i="1"/>
  <c r="AC66" i="1"/>
  <c r="AB66" i="1"/>
  <c r="AD66" i="1"/>
  <c r="AC46" i="1"/>
  <c r="AD46" i="1"/>
  <c r="AD95" i="1"/>
  <c r="AB95" i="1"/>
  <c r="AC95" i="1"/>
  <c r="AD75" i="1"/>
  <c r="AC75" i="1"/>
  <c r="AB75" i="1"/>
  <c r="AD55" i="1"/>
  <c r="AD94" i="1"/>
  <c r="AC94" i="1"/>
  <c r="AB94" i="1"/>
  <c r="AD74" i="1"/>
  <c r="AB74" i="1"/>
  <c r="AC74" i="1"/>
  <c r="AD54" i="1"/>
  <c r="AB98" i="1"/>
  <c r="AC98" i="1"/>
  <c r="AD98" i="1"/>
  <c r="AD78" i="1"/>
  <c r="AC78" i="1"/>
  <c r="AB78" i="1"/>
  <c r="AD58" i="1"/>
  <c r="AB100" i="1"/>
  <c r="AC100" i="1"/>
  <c r="AD100" i="1"/>
  <c r="AB80" i="1"/>
  <c r="AD80" i="1"/>
  <c r="AC80" i="1"/>
  <c r="AD60" i="1"/>
  <c r="AC90" i="1"/>
  <c r="AD90" i="1"/>
  <c r="AB90" i="1"/>
  <c r="AC70" i="1"/>
  <c r="AD70" i="1"/>
  <c r="AB70" i="1"/>
  <c r="AD50" i="1"/>
  <c r="AB102" i="1"/>
  <c r="AD102" i="1"/>
  <c r="AC102" i="1"/>
  <c r="AC82" i="1"/>
  <c r="AB82" i="1"/>
  <c r="AD82" i="1"/>
  <c r="AD62" i="1"/>
  <c r="AC92" i="1"/>
  <c r="AD92" i="1"/>
  <c r="AB92" i="1"/>
  <c r="AD72" i="1"/>
  <c r="AB72" i="1"/>
  <c r="AC72" i="1"/>
  <c r="AD52" i="1"/>
  <c r="AC101" i="1"/>
  <c r="AD101" i="1"/>
  <c r="AB101" i="1"/>
  <c r="AB81" i="1"/>
  <c r="AD81" i="1"/>
  <c r="AC81" i="1"/>
  <c r="AD61" i="1"/>
  <c r="AB99" i="1"/>
  <c r="AC99" i="1"/>
  <c r="AD99" i="1"/>
  <c r="AD79" i="1"/>
  <c r="AC79" i="1"/>
  <c r="AB79" i="1"/>
  <c r="AD59" i="1"/>
  <c r="AD96" i="1"/>
  <c r="AB96" i="1"/>
  <c r="AC96" i="1"/>
  <c r="AB76" i="1"/>
  <c r="AD76" i="1"/>
  <c r="AC76" i="1"/>
  <c r="AD56" i="1"/>
  <c r="AD97" i="1"/>
  <c r="AB97" i="1"/>
  <c r="AC97" i="1"/>
  <c r="AB77" i="1"/>
  <c r="AD77" i="1"/>
  <c r="AC77" i="1"/>
  <c r="AD57" i="1"/>
  <c r="AC88" i="1"/>
  <c r="AD88" i="1"/>
  <c r="AC68" i="1"/>
  <c r="AD68" i="1"/>
  <c r="AB68" i="1"/>
  <c r="AD48" i="1"/>
  <c r="AC85" i="1"/>
  <c r="AD65" i="1"/>
  <c r="AC65" i="1"/>
  <c r="AB65" i="1"/>
  <c r="AD85" i="1"/>
  <c r="AB85" i="1"/>
  <c r="AD45" i="1"/>
  <c r="AC45" i="1"/>
  <c r="AB87" i="1"/>
  <c r="AC87" i="1"/>
  <c r="AD87" i="1"/>
  <c r="AC67" i="1"/>
  <c r="AD67" i="1"/>
  <c r="AB67" i="1"/>
  <c r="AC47" i="1"/>
  <c r="AD47" i="1"/>
  <c r="AD93" i="1"/>
  <c r="AB93" i="1"/>
  <c r="AC93" i="1"/>
  <c r="AD73" i="1"/>
  <c r="AC73" i="1"/>
  <c r="AB73" i="1"/>
  <c r="AD53" i="1"/>
  <c r="AB51" i="1"/>
  <c r="AC51" i="1"/>
  <c r="AB61" i="1"/>
  <c r="AC61" i="1"/>
  <c r="AC53" i="1"/>
  <c r="AB53" i="1"/>
  <c r="AC55" i="1"/>
  <c r="AB55" i="1"/>
  <c r="AB49" i="1"/>
  <c r="AC49" i="1"/>
  <c r="AB59" i="1"/>
  <c r="AC59" i="1"/>
  <c r="AB56" i="1"/>
  <c r="AC56" i="1"/>
  <c r="AB57" i="1"/>
  <c r="AC57" i="1"/>
  <c r="AB48" i="1"/>
  <c r="AC48" i="1"/>
  <c r="AB54" i="1"/>
  <c r="AC54" i="1"/>
  <c r="AB45" i="1"/>
  <c r="AB58" i="1"/>
  <c r="AC58" i="1"/>
  <c r="AB60" i="1"/>
  <c r="AC60" i="1"/>
  <c r="AB50" i="1"/>
  <c r="AC50" i="1"/>
  <c r="AB47" i="1"/>
  <c r="AB62" i="1"/>
  <c r="AC62" i="1"/>
  <c r="AB52" i="1"/>
  <c r="AC52" i="1"/>
  <c r="S37" i="1"/>
  <c r="T37" i="1" s="1"/>
  <c r="S43" i="1"/>
  <c r="T43" i="1" s="1"/>
  <c r="S49" i="1"/>
  <c r="T49" i="1" s="1"/>
  <c r="S55" i="1"/>
  <c r="T55" i="1" s="1"/>
  <c r="S61" i="1"/>
  <c r="T61" i="1" s="1"/>
  <c r="S67" i="1"/>
  <c r="T67" i="1" s="1"/>
  <c r="S73" i="1"/>
  <c r="T73" i="1" s="1"/>
  <c r="S85" i="1"/>
  <c r="T85" i="1" s="1"/>
  <c r="S97" i="1"/>
  <c r="T97" i="1" s="1"/>
  <c r="S103" i="1"/>
  <c r="T103" i="1" s="1"/>
  <c r="S109" i="1"/>
  <c r="T109" i="1" s="1"/>
  <c r="S114" i="1"/>
  <c r="T114" i="1" s="1"/>
  <c r="S120" i="1"/>
  <c r="T120" i="1" s="1"/>
  <c r="S126" i="1"/>
  <c r="T126" i="1" s="1"/>
  <c r="S132" i="1"/>
  <c r="T132" i="1" s="1"/>
  <c r="S138" i="1"/>
  <c r="T138" i="1" s="1"/>
  <c r="S144" i="1"/>
  <c r="T144" i="1" s="1"/>
  <c r="S150" i="1"/>
  <c r="T150" i="1" s="1"/>
  <c r="S162" i="1"/>
  <c r="T162" i="1" s="1"/>
  <c r="S173" i="1"/>
  <c r="T173" i="1" s="1"/>
  <c r="S185" i="1"/>
  <c r="T185" i="1" s="1"/>
  <c r="S191" i="1"/>
  <c r="T191" i="1" s="1"/>
  <c r="S197" i="1"/>
  <c r="T197" i="1" s="1"/>
  <c r="S203" i="1"/>
  <c r="T203" i="1" s="1"/>
  <c r="S209" i="1"/>
  <c r="T209" i="1" s="1"/>
  <c r="S215" i="1"/>
  <c r="T215" i="1" s="1"/>
  <c r="S221" i="1"/>
  <c r="T221" i="1" s="1"/>
  <c r="S226" i="1"/>
  <c r="T226" i="1" s="1"/>
  <c r="S232" i="1"/>
  <c r="T232" i="1" s="1"/>
  <c r="S238" i="1"/>
  <c r="T238" i="1" s="1"/>
  <c r="S250" i="1"/>
  <c r="T250" i="1" s="1"/>
  <c r="S262" i="1"/>
  <c r="T262" i="1" s="1"/>
  <c r="S268" i="1"/>
  <c r="T268" i="1" s="1"/>
  <c r="S274" i="1"/>
  <c r="T274" i="1" s="1"/>
  <c r="S279" i="1"/>
  <c r="T279" i="1" s="1"/>
  <c r="S285" i="1"/>
  <c r="T285" i="1" s="1"/>
  <c r="S291" i="1"/>
  <c r="T291" i="1" s="1"/>
  <c r="S297" i="1"/>
  <c r="T297" i="1" s="1"/>
  <c r="S303" i="1"/>
  <c r="T303" i="1" s="1"/>
  <c r="S309" i="1"/>
  <c r="T309" i="1" s="1"/>
  <c r="S315" i="1"/>
  <c r="T315" i="1" s="1"/>
  <c r="S327" i="1"/>
  <c r="T327" i="1" s="1"/>
  <c r="S338" i="1"/>
  <c r="T338" i="1" s="1"/>
  <c r="S350" i="1"/>
  <c r="T350" i="1" s="1"/>
  <c r="S356" i="1"/>
  <c r="T356" i="1" s="1"/>
  <c r="S362" i="1"/>
  <c r="T362" i="1" s="1"/>
  <c r="S368" i="1"/>
  <c r="T368" i="1" s="1"/>
  <c r="S374" i="1"/>
  <c r="T374" i="1" s="1"/>
  <c r="S38" i="1"/>
  <c r="T38" i="1" s="1"/>
  <c r="S44" i="1"/>
  <c r="T44" i="1" s="1"/>
  <c r="S50" i="1"/>
  <c r="T50" i="1" s="1"/>
  <c r="S56" i="1"/>
  <c r="T56" i="1" s="1"/>
  <c r="S62" i="1"/>
  <c r="T62" i="1" s="1"/>
  <c r="S74" i="1"/>
  <c r="T74" i="1" s="1"/>
  <c r="S86" i="1"/>
  <c r="T86" i="1" s="1"/>
  <c r="S92" i="1"/>
  <c r="T92" i="1" s="1"/>
  <c r="S98" i="1"/>
  <c r="T98" i="1" s="1"/>
  <c r="S104" i="1"/>
  <c r="T104" i="1" s="1"/>
  <c r="S110" i="1"/>
  <c r="T110" i="1" s="1"/>
  <c r="S115" i="1"/>
  <c r="T115" i="1" s="1"/>
  <c r="S121" i="1"/>
  <c r="T121" i="1" s="1"/>
  <c r="S127" i="1"/>
  <c r="T127" i="1" s="1"/>
  <c r="S133" i="1"/>
  <c r="T133" i="1" s="1"/>
  <c r="S139" i="1"/>
  <c r="T139" i="1" s="1"/>
  <c r="S151" i="1"/>
  <c r="T151" i="1" s="1"/>
  <c r="S163" i="1"/>
  <c r="T163" i="1" s="1"/>
  <c r="S174" i="1"/>
  <c r="T174" i="1" s="1"/>
  <c r="S180" i="1"/>
  <c r="T180" i="1" s="1"/>
  <c r="S186" i="1"/>
  <c r="T186" i="1" s="1"/>
  <c r="S192" i="1"/>
  <c r="T192" i="1" s="1"/>
  <c r="S198" i="1"/>
  <c r="T198" i="1" s="1"/>
  <c r="S204" i="1"/>
  <c r="T204" i="1" s="1"/>
  <c r="S210" i="1"/>
  <c r="T210" i="1" s="1"/>
  <c r="S216" i="1"/>
  <c r="T216" i="1" s="1"/>
  <c r="S227" i="1"/>
  <c r="T227" i="1" s="1"/>
  <c r="S239" i="1"/>
  <c r="T239" i="1" s="1"/>
  <c r="S251" i="1"/>
  <c r="T251" i="1" s="1"/>
  <c r="S257" i="1"/>
  <c r="T257" i="1" s="1"/>
  <c r="S263" i="1"/>
  <c r="T263" i="1" s="1"/>
  <c r="S269" i="1"/>
  <c r="T269" i="1" s="1"/>
  <c r="S275" i="1"/>
  <c r="T275" i="1" s="1"/>
  <c r="S280" i="1"/>
  <c r="T280" i="1" s="1"/>
  <c r="S286" i="1"/>
  <c r="T286" i="1" s="1"/>
  <c r="S292" i="1"/>
  <c r="T292" i="1" s="1"/>
  <c r="S298" i="1"/>
  <c r="T298" i="1" s="1"/>
  <c r="S304" i="1"/>
  <c r="T304" i="1" s="1"/>
  <c r="S316" i="1"/>
  <c r="T316" i="1" s="1"/>
  <c r="S328" i="1"/>
  <c r="T328" i="1" s="1"/>
  <c r="S339" i="1"/>
  <c r="T339" i="1" s="1"/>
  <c r="S345" i="1"/>
  <c r="T345" i="1" s="1"/>
  <c r="S351" i="1"/>
  <c r="T351" i="1" s="1"/>
  <c r="S357" i="1"/>
  <c r="T357" i="1" s="1"/>
  <c r="S363" i="1"/>
  <c r="T363" i="1" s="1"/>
  <c r="S369" i="1"/>
  <c r="T369" i="1" s="1"/>
  <c r="S375" i="1"/>
  <c r="T375" i="1" s="1"/>
  <c r="S39" i="1"/>
  <c r="T39" i="1" s="1"/>
  <c r="S45" i="1"/>
  <c r="T45" i="1" s="1"/>
  <c r="S51" i="1"/>
  <c r="T51" i="1" s="1"/>
  <c r="S63" i="1"/>
  <c r="T63" i="1" s="1"/>
  <c r="S75" i="1"/>
  <c r="T75" i="1" s="1"/>
  <c r="S81" i="1"/>
  <c r="T81" i="1" s="1"/>
  <c r="S87" i="1"/>
  <c r="T87" i="1" s="1"/>
  <c r="S93" i="1"/>
  <c r="T93" i="1" s="1"/>
  <c r="S99" i="1"/>
  <c r="T99" i="1" s="1"/>
  <c r="S105" i="1"/>
  <c r="T105" i="1" s="1"/>
  <c r="S111" i="1"/>
  <c r="T111" i="1" s="1"/>
  <c r="S116" i="1"/>
  <c r="T116" i="1" s="1"/>
  <c r="S122" i="1"/>
  <c r="T122" i="1" s="1"/>
  <c r="S128" i="1"/>
  <c r="T128" i="1" s="1"/>
  <c r="S140" i="1"/>
  <c r="T140" i="1" s="1"/>
  <c r="S152" i="1"/>
  <c r="T152" i="1" s="1"/>
  <c r="S158" i="1"/>
  <c r="T158" i="1" s="1"/>
  <c r="S164" i="1"/>
  <c r="T164" i="1" s="1"/>
  <c r="S169" i="1"/>
  <c r="T169" i="1" s="1"/>
  <c r="S175" i="1"/>
  <c r="T175" i="1" s="1"/>
  <c r="S181" i="1"/>
  <c r="T181" i="1" s="1"/>
  <c r="S187" i="1"/>
  <c r="T187" i="1" s="1"/>
  <c r="S193" i="1"/>
  <c r="T193" i="1" s="1"/>
  <c r="S199" i="1"/>
  <c r="T199" i="1" s="1"/>
  <c r="S205" i="1"/>
  <c r="T205" i="1" s="1"/>
  <c r="S217" i="1"/>
  <c r="T217" i="1" s="1"/>
  <c r="S228" i="1"/>
  <c r="T228" i="1" s="1"/>
  <c r="S240" i="1"/>
  <c r="T240" i="1" s="1"/>
  <c r="S246" i="1"/>
  <c r="T246" i="1" s="1"/>
  <c r="S252" i="1"/>
  <c r="T252" i="1" s="1"/>
  <c r="S258" i="1"/>
  <c r="T258" i="1" s="1"/>
  <c r="S264" i="1"/>
  <c r="T264" i="1" s="1"/>
  <c r="S270" i="1"/>
  <c r="T270" i="1" s="1"/>
  <c r="S276" i="1"/>
  <c r="T276" i="1" s="1"/>
  <c r="S281" i="1"/>
  <c r="T281" i="1" s="1"/>
  <c r="S287" i="1"/>
  <c r="T287" i="1" s="1"/>
  <c r="S293" i="1"/>
  <c r="T293" i="1" s="1"/>
  <c r="S305" i="1"/>
  <c r="T305" i="1" s="1"/>
  <c r="S317" i="1"/>
  <c r="T317" i="1" s="1"/>
  <c r="S323" i="1"/>
  <c r="T323" i="1" s="1"/>
  <c r="S329" i="1"/>
  <c r="T329" i="1" s="1"/>
  <c r="S334" i="1"/>
  <c r="T334" i="1" s="1"/>
  <c r="S340" i="1"/>
  <c r="T340" i="1" s="1"/>
  <c r="S346" i="1"/>
  <c r="T346" i="1" s="1"/>
  <c r="S352" i="1"/>
  <c r="T352" i="1" s="1"/>
  <c r="S358" i="1"/>
  <c r="T358" i="1" s="1"/>
  <c r="S364" i="1"/>
  <c r="T364" i="1" s="1"/>
  <c r="S370" i="1"/>
  <c r="T370" i="1" s="1"/>
  <c r="S40" i="1"/>
  <c r="T40" i="1" s="1"/>
  <c r="S52" i="1"/>
  <c r="T52" i="1" s="1"/>
  <c r="S64" i="1"/>
  <c r="T64" i="1" s="1"/>
  <c r="S70" i="1"/>
  <c r="T70" i="1" s="1"/>
  <c r="S76" i="1"/>
  <c r="T76" i="1" s="1"/>
  <c r="S82" i="1"/>
  <c r="T82" i="1" s="1"/>
  <c r="S88" i="1"/>
  <c r="T88" i="1" s="1"/>
  <c r="S94" i="1"/>
  <c r="T94" i="1" s="1"/>
  <c r="S100" i="1"/>
  <c r="T100" i="1" s="1"/>
  <c r="S106" i="1"/>
  <c r="T106" i="1" s="1"/>
  <c r="S117" i="1"/>
  <c r="T117" i="1" s="1"/>
  <c r="S129" i="1"/>
  <c r="T129" i="1" s="1"/>
  <c r="S141" i="1"/>
  <c r="T141" i="1" s="1"/>
  <c r="S147" i="1"/>
  <c r="T147" i="1" s="1"/>
  <c r="S153" i="1"/>
  <c r="T153" i="1" s="1"/>
  <c r="S159" i="1"/>
  <c r="T159" i="1" s="1"/>
  <c r="S165" i="1"/>
  <c r="T165" i="1" s="1"/>
  <c r="S170" i="1"/>
  <c r="T170" i="1" s="1"/>
  <c r="S176" i="1"/>
  <c r="T176" i="1" s="1"/>
  <c r="S182" i="1"/>
  <c r="T182" i="1" s="1"/>
  <c r="S188" i="1"/>
  <c r="T188" i="1" s="1"/>
  <c r="S194" i="1"/>
  <c r="T194" i="1" s="1"/>
  <c r="S206" i="1"/>
  <c r="T206" i="1" s="1"/>
  <c r="S218" i="1"/>
  <c r="T218" i="1" s="1"/>
  <c r="S229" i="1"/>
  <c r="T229" i="1" s="1"/>
  <c r="S235" i="1"/>
  <c r="T235" i="1" s="1"/>
  <c r="S241" i="1"/>
  <c r="T241" i="1" s="1"/>
  <c r="S247" i="1"/>
  <c r="T247" i="1" s="1"/>
  <c r="S253" i="1"/>
  <c r="T253" i="1" s="1"/>
  <c r="S259" i="1"/>
  <c r="T259" i="1" s="1"/>
  <c r="S265" i="1"/>
  <c r="T265" i="1" s="1"/>
  <c r="S271" i="1"/>
  <c r="T271" i="1" s="1"/>
  <c r="S282" i="1"/>
  <c r="T282" i="1" s="1"/>
  <c r="S294" i="1"/>
  <c r="T294" i="1" s="1"/>
  <c r="S306" i="1"/>
  <c r="T306" i="1" s="1"/>
  <c r="S312" i="1"/>
  <c r="T312" i="1" s="1"/>
  <c r="S318" i="1"/>
  <c r="T318" i="1" s="1"/>
  <c r="S324" i="1"/>
  <c r="T324" i="1" s="1"/>
  <c r="S330" i="1"/>
  <c r="T330" i="1" s="1"/>
  <c r="S335" i="1"/>
  <c r="T335" i="1" s="1"/>
  <c r="S341" i="1"/>
  <c r="T341" i="1" s="1"/>
  <c r="S347" i="1"/>
  <c r="T347" i="1" s="1"/>
  <c r="S353" i="1"/>
  <c r="T353" i="1" s="1"/>
  <c r="S359" i="1"/>
  <c r="T359" i="1" s="1"/>
  <c r="S371" i="1"/>
  <c r="T371" i="1" s="1"/>
  <c r="S41" i="1"/>
  <c r="T41" i="1" s="1"/>
  <c r="S53" i="1"/>
  <c r="T53" i="1" s="1"/>
  <c r="S59" i="1"/>
  <c r="T59" i="1" s="1"/>
  <c r="S65" i="1"/>
  <c r="T65" i="1" s="1"/>
  <c r="S71" i="1"/>
  <c r="T71" i="1" s="1"/>
  <c r="S77" i="1"/>
  <c r="T77" i="1" s="1"/>
  <c r="S83" i="1"/>
  <c r="T83" i="1" s="1"/>
  <c r="S89" i="1"/>
  <c r="T89" i="1" s="1"/>
  <c r="S95" i="1"/>
  <c r="T95" i="1" s="1"/>
  <c r="S107" i="1"/>
  <c r="T107" i="1" s="1"/>
  <c r="S118" i="1"/>
  <c r="T118" i="1" s="1"/>
  <c r="S130" i="1"/>
  <c r="T130" i="1" s="1"/>
  <c r="S136" i="1"/>
  <c r="T136" i="1" s="1"/>
  <c r="S142" i="1"/>
  <c r="T142" i="1" s="1"/>
  <c r="S148" i="1"/>
  <c r="T148" i="1" s="1"/>
  <c r="S154" i="1"/>
  <c r="T154" i="1" s="1"/>
  <c r="S160" i="1"/>
  <c r="T160" i="1" s="1"/>
  <c r="S166" i="1"/>
  <c r="T166" i="1" s="1"/>
  <c r="S171" i="1"/>
  <c r="T171" i="1" s="1"/>
  <c r="S177" i="1"/>
  <c r="T177" i="1" s="1"/>
  <c r="S183" i="1"/>
  <c r="T183" i="1" s="1"/>
  <c r="S195" i="1"/>
  <c r="T195" i="1" s="1"/>
  <c r="S207" i="1"/>
  <c r="T207" i="1" s="1"/>
  <c r="S213" i="1"/>
  <c r="T213" i="1" s="1"/>
  <c r="S219" i="1"/>
  <c r="T219" i="1" s="1"/>
  <c r="S224" i="1"/>
  <c r="T224" i="1" s="1"/>
  <c r="S230" i="1"/>
  <c r="T230" i="1" s="1"/>
  <c r="S236" i="1"/>
  <c r="T236" i="1" s="1"/>
  <c r="S242" i="1"/>
  <c r="T242" i="1" s="1"/>
  <c r="S248" i="1"/>
  <c r="T248" i="1" s="1"/>
  <c r="S254" i="1"/>
  <c r="T254" i="1" s="1"/>
  <c r="S260" i="1"/>
  <c r="T260" i="1" s="1"/>
  <c r="S272" i="1"/>
  <c r="T272" i="1" s="1"/>
  <c r="S283" i="1"/>
  <c r="T283" i="1" s="1"/>
  <c r="S295" i="1"/>
  <c r="T295" i="1" s="1"/>
  <c r="S301" i="1"/>
  <c r="T301" i="1" s="1"/>
  <c r="S307" i="1"/>
  <c r="T307" i="1" s="1"/>
  <c r="S313" i="1"/>
  <c r="T313" i="1" s="1"/>
  <c r="S319" i="1"/>
  <c r="T319" i="1" s="1"/>
  <c r="S325" i="1"/>
  <c r="T325" i="1" s="1"/>
  <c r="S331" i="1"/>
  <c r="T331" i="1" s="1"/>
  <c r="S336" i="1"/>
  <c r="T336" i="1" s="1"/>
  <c r="S342" i="1"/>
  <c r="T342" i="1" s="1"/>
  <c r="S348" i="1"/>
  <c r="T348" i="1" s="1"/>
  <c r="S360" i="1"/>
  <c r="T360" i="1" s="1"/>
  <c r="S372" i="1"/>
  <c r="T372" i="1" s="1"/>
  <c r="S42" i="1"/>
  <c r="T42" i="1" s="1"/>
  <c r="S48" i="1"/>
  <c r="T48" i="1" s="1"/>
  <c r="S54" i="1"/>
  <c r="T54" i="1" s="1"/>
  <c r="S60" i="1"/>
  <c r="T60" i="1" s="1"/>
  <c r="S66" i="1"/>
  <c r="T66" i="1" s="1"/>
  <c r="S72" i="1"/>
  <c r="T72" i="1" s="1"/>
  <c r="S78" i="1"/>
  <c r="T78" i="1" s="1"/>
  <c r="S84" i="1"/>
  <c r="T84" i="1" s="1"/>
  <c r="S96" i="1"/>
  <c r="T96" i="1" s="1"/>
  <c r="S108" i="1"/>
  <c r="T108" i="1" s="1"/>
  <c r="S119" i="1"/>
  <c r="T119" i="1" s="1"/>
  <c r="S125" i="1"/>
  <c r="T125" i="1" s="1"/>
  <c r="S131" i="1"/>
  <c r="T131" i="1" s="1"/>
  <c r="S137" i="1"/>
  <c r="T137" i="1" s="1"/>
  <c r="S143" i="1"/>
  <c r="T143" i="1" s="1"/>
  <c r="S149" i="1"/>
  <c r="T149" i="1" s="1"/>
  <c r="S155" i="1"/>
  <c r="T155" i="1" s="1"/>
  <c r="S161" i="1"/>
  <c r="T161" i="1" s="1"/>
  <c r="S172" i="1"/>
  <c r="T172" i="1" s="1"/>
  <c r="S184" i="1"/>
  <c r="T184" i="1" s="1"/>
  <c r="S196" i="1"/>
  <c r="T196" i="1" s="1"/>
  <c r="S202" i="1"/>
  <c r="T202" i="1" s="1"/>
  <c r="S208" i="1"/>
  <c r="T208" i="1" s="1"/>
  <c r="S214" i="1"/>
  <c r="T214" i="1" s="1"/>
  <c r="S220" i="1"/>
  <c r="T220" i="1" s="1"/>
  <c r="S225" i="1"/>
  <c r="T225" i="1" s="1"/>
  <c r="S231" i="1"/>
  <c r="T231" i="1" s="1"/>
  <c r="S237" i="1"/>
  <c r="T237" i="1" s="1"/>
  <c r="S243" i="1"/>
  <c r="T243" i="1" s="1"/>
  <c r="S249" i="1"/>
  <c r="T249" i="1" s="1"/>
  <c r="S261" i="1"/>
  <c r="T261" i="1" s="1"/>
  <c r="S273" i="1"/>
  <c r="T273" i="1" s="1"/>
  <c r="S284" i="1"/>
  <c r="T284" i="1" s="1"/>
  <c r="S290" i="1"/>
  <c r="T290" i="1" s="1"/>
  <c r="S296" i="1"/>
  <c r="T296" i="1" s="1"/>
  <c r="S302" i="1"/>
  <c r="T302" i="1" s="1"/>
  <c r="S308" i="1"/>
  <c r="T308" i="1" s="1"/>
  <c r="S314" i="1"/>
  <c r="T314" i="1" s="1"/>
  <c r="S320" i="1"/>
  <c r="T320" i="1" s="1"/>
  <c r="S326" i="1"/>
  <c r="T326" i="1" s="1"/>
  <c r="S337" i="1"/>
  <c r="T337" i="1" s="1"/>
  <c r="S349" i="1"/>
  <c r="T349" i="1" s="1"/>
  <c r="S361" i="1"/>
  <c r="T361" i="1" s="1"/>
  <c r="S367" i="1"/>
  <c r="S373" i="1"/>
  <c r="T373" i="1" s="1"/>
  <c r="S33" i="1"/>
  <c r="T33" i="1" s="1"/>
  <c r="S32" i="1"/>
  <c r="T32" i="1" s="1"/>
  <c r="S31" i="1"/>
  <c r="T31" i="1" s="1"/>
  <c r="S30" i="1"/>
  <c r="T30" i="1" s="1"/>
  <c r="S29" i="1"/>
  <c r="T29" i="1" s="1"/>
  <c r="S28" i="1"/>
  <c r="T28" i="1" s="1"/>
  <c r="S27" i="1"/>
  <c r="T27" i="1" s="1"/>
  <c r="S26" i="1"/>
  <c r="S23" i="1"/>
  <c r="T23" i="1" s="1"/>
  <c r="S21" i="1"/>
  <c r="T21" i="1" s="1"/>
  <c r="S16" i="1"/>
  <c r="T16" i="1" s="1"/>
  <c r="S19" i="1"/>
  <c r="T19" i="1" s="1"/>
  <c r="S17" i="1"/>
  <c r="T17" i="1" s="1"/>
  <c r="S22" i="1"/>
  <c r="T22" i="1" s="1"/>
  <c r="S15" i="1"/>
  <c r="S20" i="1"/>
  <c r="T20" i="1" s="1"/>
  <c r="S18" i="1"/>
  <c r="T18" i="1" s="1"/>
  <c r="S11" i="1"/>
  <c r="T11" i="1" s="1"/>
  <c r="S5" i="1"/>
  <c r="T5" i="1" s="1"/>
  <c r="S8" i="1"/>
  <c r="T8" i="1" s="1"/>
  <c r="S6" i="1"/>
  <c r="T6" i="1" s="1"/>
  <c r="S9" i="1"/>
  <c r="T9" i="1" s="1"/>
  <c r="S7" i="1"/>
  <c r="T7" i="1" s="1"/>
  <c r="S12" i="1"/>
  <c r="T12" i="1" s="1"/>
  <c r="S4" i="1"/>
  <c r="S10" i="1"/>
  <c r="T10" i="1" s="1"/>
  <c r="E10" i="9"/>
  <c r="D11" i="9"/>
  <c r="E7" i="9"/>
  <c r="D10" i="9"/>
  <c r="D7" i="9"/>
  <c r="F10" i="9"/>
  <c r="F7" i="9"/>
  <c r="AH697" i="1" l="1"/>
  <c r="AI697" i="1" s="1"/>
  <c r="AH699" i="1"/>
  <c r="AI699" i="1" s="1"/>
  <c r="AM11" i="9"/>
  <c r="AL11" i="9"/>
  <c r="AN11" i="9"/>
  <c r="AN7" i="9"/>
  <c r="AM7" i="9"/>
  <c r="AL7" i="9"/>
  <c r="AM10" i="9"/>
  <c r="AL10" i="9"/>
  <c r="AN10" i="9"/>
  <c r="AH694" i="1"/>
  <c r="AI694" i="1" s="1"/>
  <c r="AH687" i="1"/>
  <c r="AI687" i="1" s="1"/>
  <c r="AH688" i="1"/>
  <c r="AI688" i="1" s="1"/>
  <c r="AH701" i="1"/>
  <c r="AI701" i="1" s="1"/>
  <c r="AH686" i="1"/>
  <c r="AI686" i="1" s="1"/>
  <c r="AH692" i="1"/>
  <c r="AI692" i="1" s="1"/>
  <c r="AH702" i="1"/>
  <c r="AI702" i="1" s="1"/>
  <c r="AH691" i="1"/>
  <c r="AI691" i="1" s="1"/>
  <c r="AH689" i="1"/>
  <c r="AI689" i="1" s="1"/>
  <c r="AH695" i="1"/>
  <c r="AI695" i="1" s="1"/>
  <c r="AH696" i="1"/>
  <c r="AI696" i="1" s="1"/>
  <c r="AH690" i="1"/>
  <c r="AI690" i="1" s="1"/>
  <c r="AH685" i="1"/>
  <c r="AI685" i="1" s="1"/>
  <c r="AH698" i="1"/>
  <c r="AI698" i="1" s="1"/>
  <c r="AH700" i="1"/>
  <c r="AI700" i="1" s="1"/>
  <c r="AH665" i="1"/>
  <c r="AI665" i="1" s="1"/>
  <c r="AH693" i="1"/>
  <c r="AI693" i="1" s="1"/>
  <c r="AH146" i="1"/>
  <c r="AI146" i="1" s="1"/>
  <c r="D5" i="10"/>
  <c r="P5" i="10"/>
  <c r="J6" i="10"/>
  <c r="D7" i="10"/>
  <c r="P7" i="10"/>
  <c r="J8" i="10"/>
  <c r="D9" i="10"/>
  <c r="J10" i="10"/>
  <c r="D11" i="10"/>
  <c r="P11" i="10"/>
  <c r="J12" i="10"/>
  <c r="D13" i="10"/>
  <c r="P13" i="10"/>
  <c r="J14" i="10"/>
  <c r="D15" i="10"/>
  <c r="P15" i="10"/>
  <c r="J16" i="10"/>
  <c r="D17" i="10"/>
  <c r="P17" i="10"/>
  <c r="J18" i="10"/>
  <c r="D19" i="10"/>
  <c r="P19" i="10"/>
  <c r="J20" i="10"/>
  <c r="D21" i="10"/>
  <c r="P21" i="10"/>
  <c r="U10" i="10"/>
  <c r="U16" i="10"/>
  <c r="U20" i="10"/>
  <c r="E5" i="10"/>
  <c r="Q5" i="10"/>
  <c r="K6" i="10"/>
  <c r="E7" i="10"/>
  <c r="Q7" i="10"/>
  <c r="K8" i="10"/>
  <c r="E9" i="10"/>
  <c r="Q9" i="10"/>
  <c r="K10" i="10"/>
  <c r="E11" i="10"/>
  <c r="Q11" i="10"/>
  <c r="K12" i="10"/>
  <c r="E13" i="10"/>
  <c r="Q13" i="10"/>
  <c r="K14" i="10"/>
  <c r="E15" i="10"/>
  <c r="Q15" i="10"/>
  <c r="K16" i="10"/>
  <c r="E17" i="10"/>
  <c r="Q17" i="10"/>
  <c r="K18" i="10"/>
  <c r="E19" i="10"/>
  <c r="Q19" i="10"/>
  <c r="K20" i="10"/>
  <c r="E21" i="10"/>
  <c r="Q21" i="10"/>
  <c r="L4" i="10"/>
  <c r="R9" i="10"/>
  <c r="R11" i="10"/>
  <c r="F13" i="10"/>
  <c r="L14" i="10"/>
  <c r="R15" i="10"/>
  <c r="F17" i="10"/>
  <c r="R17" i="10"/>
  <c r="F19" i="10"/>
  <c r="L20" i="10"/>
  <c r="R21" i="10"/>
  <c r="I17" i="10"/>
  <c r="O20" i="10"/>
  <c r="N13" i="10"/>
  <c r="T20" i="10"/>
  <c r="U8" i="10"/>
  <c r="U12" i="10"/>
  <c r="U18" i="10"/>
  <c r="F5" i="10"/>
  <c r="R5" i="10"/>
  <c r="L6" i="10"/>
  <c r="F7" i="10"/>
  <c r="R7" i="10"/>
  <c r="L8" i="10"/>
  <c r="F9" i="10"/>
  <c r="L10" i="10"/>
  <c r="F11" i="10"/>
  <c r="L12" i="10"/>
  <c r="R13" i="10"/>
  <c r="F15" i="10"/>
  <c r="L16" i="10"/>
  <c r="L18" i="10"/>
  <c r="R19" i="10"/>
  <c r="F21" i="10"/>
  <c r="M4" i="10"/>
  <c r="O18" i="10"/>
  <c r="P4" i="10"/>
  <c r="H16" i="10"/>
  <c r="I4" i="10"/>
  <c r="I10" i="10"/>
  <c r="I16" i="10"/>
  <c r="J4" i="10"/>
  <c r="G5" i="10"/>
  <c r="S5" i="10"/>
  <c r="M6" i="10"/>
  <c r="G7" i="10"/>
  <c r="S7" i="10"/>
  <c r="M8" i="10"/>
  <c r="G9" i="10"/>
  <c r="S9" i="10"/>
  <c r="M10" i="10"/>
  <c r="G11" i="10"/>
  <c r="S11" i="10"/>
  <c r="M12" i="10"/>
  <c r="G13" i="10"/>
  <c r="S13" i="10"/>
  <c r="M14" i="10"/>
  <c r="G15" i="10"/>
  <c r="S15" i="10"/>
  <c r="M16" i="10"/>
  <c r="G17" i="10"/>
  <c r="S17" i="10"/>
  <c r="M18" i="10"/>
  <c r="G19" i="10"/>
  <c r="S19" i="10"/>
  <c r="M20" i="10"/>
  <c r="G21" i="10"/>
  <c r="S21" i="10"/>
  <c r="N4" i="10"/>
  <c r="U5" i="10"/>
  <c r="U7" i="10"/>
  <c r="I9" i="10"/>
  <c r="O10" i="10"/>
  <c r="U11" i="10"/>
  <c r="I13" i="10"/>
  <c r="O14" i="10"/>
  <c r="U15" i="10"/>
  <c r="U17" i="10"/>
  <c r="U19" i="10"/>
  <c r="U21" i="10"/>
  <c r="N17" i="10"/>
  <c r="O7" i="10"/>
  <c r="I14" i="10"/>
  <c r="D4" i="10"/>
  <c r="H5" i="10"/>
  <c r="T5" i="10"/>
  <c r="N6" i="10"/>
  <c r="H7" i="10"/>
  <c r="T7" i="10"/>
  <c r="N8" i="10"/>
  <c r="H9" i="10"/>
  <c r="T9" i="10"/>
  <c r="N10" i="10"/>
  <c r="H11" i="10"/>
  <c r="T11" i="10"/>
  <c r="N12" i="10"/>
  <c r="H13" i="10"/>
  <c r="T13" i="10"/>
  <c r="N14" i="10"/>
  <c r="H15" i="10"/>
  <c r="T15" i="10"/>
  <c r="N16" i="10"/>
  <c r="H17" i="10"/>
  <c r="T17" i="10"/>
  <c r="N18" i="10"/>
  <c r="H19" i="10"/>
  <c r="T19" i="10"/>
  <c r="N20" i="10"/>
  <c r="H21" i="10"/>
  <c r="T21" i="10"/>
  <c r="O4" i="10"/>
  <c r="I5" i="10"/>
  <c r="O6" i="10"/>
  <c r="I7" i="10"/>
  <c r="O8" i="10"/>
  <c r="U9" i="10"/>
  <c r="I11" i="10"/>
  <c r="O12" i="10"/>
  <c r="U13" i="10"/>
  <c r="I15" i="10"/>
  <c r="O16" i="10"/>
  <c r="I19" i="10"/>
  <c r="I21" i="10"/>
  <c r="T14" i="10"/>
  <c r="N21" i="10"/>
  <c r="O9" i="10"/>
  <c r="O15" i="10"/>
  <c r="I20" i="10"/>
  <c r="J5" i="10"/>
  <c r="D6" i="10"/>
  <c r="P6" i="10"/>
  <c r="J7" i="10"/>
  <c r="D8" i="10"/>
  <c r="P8" i="10"/>
  <c r="J9" i="10"/>
  <c r="D10" i="10"/>
  <c r="P10" i="10"/>
  <c r="J11" i="10"/>
  <c r="D12" i="10"/>
  <c r="P12" i="10"/>
  <c r="J13" i="10"/>
  <c r="D14" i="10"/>
  <c r="P14" i="10"/>
  <c r="J15" i="10"/>
  <c r="D16" i="10"/>
  <c r="P16" i="10"/>
  <c r="J17" i="10"/>
  <c r="D18" i="10"/>
  <c r="P18" i="10"/>
  <c r="J19" i="10"/>
  <c r="D20" i="10"/>
  <c r="P20" i="10"/>
  <c r="J21" i="10"/>
  <c r="E4" i="10"/>
  <c r="Q4" i="10"/>
  <c r="M7" i="10"/>
  <c r="S8" i="10"/>
  <c r="S10" i="10"/>
  <c r="G14" i="10"/>
  <c r="M15" i="10"/>
  <c r="G18" i="10"/>
  <c r="S20" i="10"/>
  <c r="T4" i="10"/>
  <c r="N7" i="10"/>
  <c r="H10" i="10"/>
  <c r="T12" i="10"/>
  <c r="T16" i="10"/>
  <c r="H20" i="10"/>
  <c r="O5" i="10"/>
  <c r="O13" i="10"/>
  <c r="I18" i="10"/>
  <c r="K5" i="10"/>
  <c r="E6" i="10"/>
  <c r="Q6" i="10"/>
  <c r="K7" i="10"/>
  <c r="E8" i="10"/>
  <c r="Q8" i="10"/>
  <c r="K9" i="10"/>
  <c r="E10" i="10"/>
  <c r="K11" i="10"/>
  <c r="E12" i="10"/>
  <c r="Q12" i="10"/>
  <c r="K13" i="10"/>
  <c r="E14" i="10"/>
  <c r="Q14" i="10"/>
  <c r="K15" i="10"/>
  <c r="E16" i="10"/>
  <c r="Q16" i="10"/>
  <c r="K17" i="10"/>
  <c r="E18" i="10"/>
  <c r="Q18" i="10"/>
  <c r="K19" i="10"/>
  <c r="E20" i="10"/>
  <c r="Q20" i="10"/>
  <c r="K21" i="10"/>
  <c r="F4" i="10"/>
  <c r="R4" i="10"/>
  <c r="G6" i="10"/>
  <c r="G8" i="10"/>
  <c r="G10" i="10"/>
  <c r="S12" i="10"/>
  <c r="G16" i="10"/>
  <c r="S18" i="10"/>
  <c r="M21" i="10"/>
  <c r="N5" i="10"/>
  <c r="H8" i="10"/>
  <c r="T10" i="10"/>
  <c r="H14" i="10"/>
  <c r="T18" i="10"/>
  <c r="U4" i="10"/>
  <c r="I8" i="10"/>
  <c r="I12" i="10"/>
  <c r="O19" i="10"/>
  <c r="L5" i="10"/>
  <c r="F6" i="10"/>
  <c r="R6" i="10"/>
  <c r="L7" i="10"/>
  <c r="F8" i="10"/>
  <c r="R8" i="10"/>
  <c r="L9" i="10"/>
  <c r="F10" i="10"/>
  <c r="R10" i="10"/>
  <c r="L11" i="10"/>
  <c r="F12" i="10"/>
  <c r="R12" i="10"/>
  <c r="L13" i="10"/>
  <c r="F14" i="10"/>
  <c r="R14" i="10"/>
  <c r="L15" i="10"/>
  <c r="F16" i="10"/>
  <c r="R16" i="10"/>
  <c r="L17" i="10"/>
  <c r="F18" i="10"/>
  <c r="R18" i="10"/>
  <c r="L19" i="10"/>
  <c r="F20" i="10"/>
  <c r="R20" i="10"/>
  <c r="L21" i="10"/>
  <c r="G4" i="10"/>
  <c r="S4" i="10"/>
  <c r="S6" i="10"/>
  <c r="M9" i="10"/>
  <c r="M11" i="10"/>
  <c r="M13" i="10"/>
  <c r="S14" i="10"/>
  <c r="M17" i="10"/>
  <c r="G20" i="10"/>
  <c r="H4" i="10"/>
  <c r="T6" i="10"/>
  <c r="N9" i="10"/>
  <c r="H12" i="10"/>
  <c r="N15" i="10"/>
  <c r="N19" i="10"/>
  <c r="I6" i="10"/>
  <c r="O11" i="10"/>
  <c r="O17" i="10"/>
  <c r="M5" i="10"/>
  <c r="G12" i="10"/>
  <c r="S16" i="10"/>
  <c r="M19" i="10"/>
  <c r="H6" i="10"/>
  <c r="T8" i="10"/>
  <c r="N11" i="10"/>
  <c r="H18" i="10"/>
  <c r="U6" i="10"/>
  <c r="U14" i="10"/>
  <c r="O21" i="10"/>
  <c r="AH653" i="1"/>
  <c r="AI653" i="1" s="1"/>
  <c r="AH35" i="1"/>
  <c r="AI35" i="1" s="1"/>
  <c r="AH30" i="1"/>
  <c r="AI30" i="1" s="1"/>
  <c r="AH42" i="1"/>
  <c r="AI42" i="1" s="1"/>
  <c r="AH32" i="1"/>
  <c r="AI32" i="1" s="1"/>
  <c r="AH29" i="1"/>
  <c r="AI29" i="1" s="1"/>
  <c r="AH36" i="1"/>
  <c r="AI36" i="1" s="1"/>
  <c r="AH39" i="1"/>
  <c r="AI39" i="1" s="1"/>
  <c r="AH25" i="1"/>
  <c r="AI25" i="1" s="1"/>
  <c r="AH26" i="1"/>
  <c r="AI26" i="1" s="1"/>
  <c r="AH37" i="1"/>
  <c r="AI37" i="1" s="1"/>
  <c r="AH27" i="1"/>
  <c r="AI27" i="1" s="1"/>
  <c r="AH38" i="1"/>
  <c r="AI38" i="1" s="1"/>
  <c r="AH31" i="1"/>
  <c r="AI31" i="1" s="1"/>
  <c r="AH40" i="1"/>
  <c r="AI40" i="1" s="1"/>
  <c r="AH41" i="1"/>
  <c r="AI41" i="1" s="1"/>
  <c r="AH34" i="1"/>
  <c r="AI34" i="1" s="1"/>
  <c r="AH33" i="1"/>
  <c r="AI33" i="1" s="1"/>
  <c r="AH28" i="1"/>
  <c r="AI28" i="1" s="1"/>
  <c r="T15" i="1"/>
  <c r="T26" i="1"/>
  <c r="Q10" i="10" s="1"/>
  <c r="AH682" i="1"/>
  <c r="AI682" i="1" s="1"/>
  <c r="AH670" i="1"/>
  <c r="AI670" i="1" s="1"/>
  <c r="AH673" i="1"/>
  <c r="AI673" i="1" s="1"/>
  <c r="AH672" i="1"/>
  <c r="AI672" i="1" s="1"/>
  <c r="AH677" i="1"/>
  <c r="AI677" i="1" s="1"/>
  <c r="AH675" i="1"/>
  <c r="AI675" i="1" s="1"/>
  <c r="AH674" i="1"/>
  <c r="AI674" i="1" s="1"/>
  <c r="AH679" i="1"/>
  <c r="AI679" i="1" s="1"/>
  <c r="AH669" i="1"/>
  <c r="AI669" i="1" s="1"/>
  <c r="AH671" i="1"/>
  <c r="AI671" i="1" s="1"/>
  <c r="AH668" i="1"/>
  <c r="AI668" i="1" s="1"/>
  <c r="AH666" i="1"/>
  <c r="AI666" i="1" s="1"/>
  <c r="AH681" i="1"/>
  <c r="AI681" i="1" s="1"/>
  <c r="AH678" i="1"/>
  <c r="AI678" i="1" s="1"/>
  <c r="AH680" i="1"/>
  <c r="AI680" i="1" s="1"/>
  <c r="AH676" i="1"/>
  <c r="AI676" i="1" s="1"/>
  <c r="AH667" i="1"/>
  <c r="AI667" i="1" s="1"/>
  <c r="T367" i="1"/>
  <c r="AH639" i="1"/>
  <c r="AI639" i="1" s="1"/>
  <c r="AH662" i="1"/>
  <c r="AI662" i="1" s="1"/>
  <c r="AH591" i="1"/>
  <c r="AI591" i="1" s="1"/>
  <c r="AH199" i="1"/>
  <c r="AI199" i="1" s="1"/>
  <c r="AH621" i="1"/>
  <c r="AI621" i="1" s="1"/>
  <c r="AH659" i="1"/>
  <c r="AI659" i="1" s="1"/>
  <c r="AH558" i="1"/>
  <c r="AI558" i="1" s="1"/>
  <c r="AH575" i="1"/>
  <c r="AI575" i="1" s="1"/>
  <c r="AH88" i="1"/>
  <c r="AI88" i="1" s="1"/>
  <c r="AH616" i="1"/>
  <c r="AI616" i="1" s="1"/>
  <c r="AH606" i="1"/>
  <c r="AI606" i="1" s="1"/>
  <c r="AH551" i="1"/>
  <c r="AI551" i="1" s="1"/>
  <c r="AH638" i="1"/>
  <c r="AI638" i="1" s="1"/>
  <c r="AH454" i="1"/>
  <c r="AI454" i="1" s="1"/>
  <c r="AH647" i="1"/>
  <c r="AI647" i="1" s="1"/>
  <c r="AH658" i="1"/>
  <c r="AI658" i="1" s="1"/>
  <c r="AH201" i="1"/>
  <c r="AI201" i="1" s="1"/>
  <c r="AH573" i="1"/>
  <c r="AI573" i="1" s="1"/>
  <c r="AH470" i="1"/>
  <c r="AI470" i="1" s="1"/>
  <c r="AH650" i="1"/>
  <c r="AI650" i="1" s="1"/>
  <c r="AH654" i="1"/>
  <c r="AI654" i="1" s="1"/>
  <c r="AH652" i="1"/>
  <c r="AI652" i="1" s="1"/>
  <c r="AH660" i="1"/>
  <c r="AI660" i="1" s="1"/>
  <c r="AH645" i="1"/>
  <c r="AI645" i="1" s="1"/>
  <c r="AH634" i="1"/>
  <c r="AI634" i="1" s="1"/>
  <c r="AH632" i="1"/>
  <c r="AI632" i="1" s="1"/>
  <c r="AH637" i="1"/>
  <c r="AI637" i="1" s="1"/>
  <c r="AH629" i="1"/>
  <c r="AI629" i="1" s="1"/>
  <c r="AH625" i="1"/>
  <c r="AI625" i="1" s="1"/>
  <c r="AH607" i="1"/>
  <c r="AI607" i="1" s="1"/>
  <c r="AH619" i="1"/>
  <c r="AI619" i="1" s="1"/>
  <c r="AH618" i="1"/>
  <c r="AI618" i="1" s="1"/>
  <c r="AH602" i="1"/>
  <c r="AI602" i="1" s="1"/>
  <c r="AH590" i="1"/>
  <c r="AI590" i="1" s="1"/>
  <c r="AH598" i="1"/>
  <c r="AI598" i="1" s="1"/>
  <c r="AH594" i="1"/>
  <c r="AI594" i="1" s="1"/>
  <c r="AH593" i="1"/>
  <c r="AI593" i="1" s="1"/>
  <c r="AH600" i="1"/>
  <c r="AI600" i="1" s="1"/>
  <c r="AH571" i="1"/>
  <c r="AI571" i="1" s="1"/>
  <c r="AH574" i="1"/>
  <c r="AI574" i="1" s="1"/>
  <c r="AH582" i="1"/>
  <c r="AI582" i="1" s="1"/>
  <c r="AH572" i="1"/>
  <c r="AI572" i="1" s="1"/>
  <c r="AH555" i="1"/>
  <c r="AI555" i="1" s="1"/>
  <c r="AH559" i="1"/>
  <c r="AI559" i="1" s="1"/>
  <c r="AH557" i="1"/>
  <c r="AI557" i="1" s="1"/>
  <c r="AH554" i="1"/>
  <c r="AI554" i="1" s="1"/>
  <c r="AH516" i="1"/>
  <c r="AI516" i="1" s="1"/>
  <c r="AH477" i="1"/>
  <c r="AI477" i="1" s="1"/>
  <c r="AH448" i="1"/>
  <c r="AI448" i="1" s="1"/>
  <c r="AH546" i="1"/>
  <c r="AI546" i="1" s="1"/>
  <c r="AH605" i="1"/>
  <c r="AI605" i="1" s="1"/>
  <c r="AH601" i="1"/>
  <c r="AI601" i="1" s="1"/>
  <c r="AH635" i="1"/>
  <c r="AI635" i="1" s="1"/>
  <c r="AH633" i="1"/>
  <c r="AI633" i="1" s="1"/>
  <c r="AH609" i="1"/>
  <c r="AI609" i="1" s="1"/>
  <c r="AH581" i="1"/>
  <c r="AI581" i="1" s="1"/>
  <c r="AH548" i="1"/>
  <c r="AI548" i="1" s="1"/>
  <c r="AH549" i="1"/>
  <c r="AI549" i="1" s="1"/>
  <c r="AH577" i="1"/>
  <c r="AI577" i="1" s="1"/>
  <c r="AH611" i="1"/>
  <c r="AI611" i="1" s="1"/>
  <c r="AH567" i="1"/>
  <c r="AI567" i="1" s="1"/>
  <c r="AH642" i="1"/>
  <c r="AI642" i="1" s="1"/>
  <c r="AH615" i="1"/>
  <c r="AI615" i="1" s="1"/>
  <c r="AH640" i="1"/>
  <c r="AI640" i="1" s="1"/>
  <c r="AH579" i="1"/>
  <c r="AI579" i="1" s="1"/>
  <c r="AH550" i="1"/>
  <c r="AI550" i="1" s="1"/>
  <c r="AH655" i="1"/>
  <c r="AI655" i="1" s="1"/>
  <c r="AH628" i="1"/>
  <c r="AI628" i="1" s="1"/>
  <c r="AH552" i="1"/>
  <c r="AI552" i="1" s="1"/>
  <c r="AH597" i="1"/>
  <c r="AI597" i="1" s="1"/>
  <c r="AH588" i="1"/>
  <c r="AI588" i="1" s="1"/>
  <c r="AH648" i="1"/>
  <c r="AI648" i="1" s="1"/>
  <c r="AH556" i="1"/>
  <c r="AI556" i="1" s="1"/>
  <c r="AH636" i="1"/>
  <c r="AI636" i="1" s="1"/>
  <c r="AH569" i="1"/>
  <c r="AI569" i="1" s="1"/>
  <c r="AH626" i="1"/>
  <c r="AI626" i="1" s="1"/>
  <c r="AH631" i="1"/>
  <c r="AI631" i="1" s="1"/>
  <c r="AH599" i="1"/>
  <c r="AI599" i="1" s="1"/>
  <c r="AH561" i="1"/>
  <c r="AI561" i="1" s="1"/>
  <c r="AH568" i="1"/>
  <c r="AI568" i="1" s="1"/>
  <c r="AH656" i="1"/>
  <c r="AI656" i="1" s="1"/>
  <c r="AH589" i="1"/>
  <c r="AI589" i="1" s="1"/>
  <c r="AH646" i="1"/>
  <c r="AI646" i="1" s="1"/>
  <c r="AH651" i="1"/>
  <c r="AI651" i="1" s="1"/>
  <c r="AH553" i="1"/>
  <c r="AI553" i="1" s="1"/>
  <c r="AH630" i="1"/>
  <c r="AI630" i="1" s="1"/>
  <c r="AH595" i="1"/>
  <c r="AI595" i="1" s="1"/>
  <c r="AH614" i="1"/>
  <c r="AI614" i="1" s="1"/>
  <c r="AH576" i="1"/>
  <c r="AI576" i="1" s="1"/>
  <c r="AH612" i="1"/>
  <c r="AI612" i="1" s="1"/>
  <c r="AH566" i="1"/>
  <c r="AI566" i="1" s="1"/>
  <c r="AH620" i="1"/>
  <c r="AI620" i="1" s="1"/>
  <c r="AH622" i="1"/>
  <c r="AI622" i="1" s="1"/>
  <c r="AH641" i="1"/>
  <c r="AI641" i="1" s="1"/>
  <c r="AH570" i="1"/>
  <c r="AI570" i="1" s="1"/>
  <c r="AH596" i="1"/>
  <c r="AI596" i="1" s="1"/>
  <c r="AH586" i="1"/>
  <c r="AI586" i="1" s="1"/>
  <c r="AH617" i="1"/>
  <c r="AI617" i="1" s="1"/>
  <c r="AH560" i="1"/>
  <c r="AI560" i="1" s="1"/>
  <c r="AH613" i="1"/>
  <c r="AI613" i="1" s="1"/>
  <c r="AH562" i="1"/>
  <c r="AI562" i="1" s="1"/>
  <c r="AH661" i="1"/>
  <c r="AI661" i="1" s="1"/>
  <c r="AH578" i="1"/>
  <c r="AI578" i="1" s="1"/>
  <c r="AH657" i="1"/>
  <c r="AI657" i="1" s="1"/>
  <c r="AH547" i="1"/>
  <c r="AI547" i="1" s="1"/>
  <c r="AH627" i="1"/>
  <c r="AI627" i="1" s="1"/>
  <c r="AH545" i="1"/>
  <c r="AI545" i="1" s="1"/>
  <c r="AH565" i="1"/>
  <c r="AI565" i="1" s="1"/>
  <c r="AH608" i="1"/>
  <c r="AI608" i="1" s="1"/>
  <c r="AH592" i="1"/>
  <c r="AI592" i="1" s="1"/>
  <c r="AH610" i="1"/>
  <c r="AI610" i="1" s="1"/>
  <c r="AH585" i="1"/>
  <c r="AI585" i="1" s="1"/>
  <c r="AH587" i="1"/>
  <c r="AI587" i="1" s="1"/>
  <c r="AH649" i="1"/>
  <c r="AI649" i="1" s="1"/>
  <c r="AH580" i="1"/>
  <c r="AI580" i="1" s="1"/>
  <c r="AH514" i="1"/>
  <c r="AI514" i="1" s="1"/>
  <c r="AH200" i="1"/>
  <c r="AI200" i="1" s="1"/>
  <c r="AH467" i="1"/>
  <c r="AI467" i="1" s="1"/>
  <c r="AH480" i="1"/>
  <c r="AI480" i="1" s="1"/>
  <c r="AH515" i="1"/>
  <c r="AI515" i="1" s="1"/>
  <c r="AH527" i="1"/>
  <c r="AI527" i="1" s="1"/>
  <c r="AH533" i="1"/>
  <c r="AI533" i="1" s="1"/>
  <c r="AH460" i="1"/>
  <c r="AI460" i="1" s="1"/>
  <c r="AH487" i="1"/>
  <c r="AI487" i="1" s="1"/>
  <c r="AH452" i="1"/>
  <c r="AI452" i="1" s="1"/>
  <c r="AH482" i="1"/>
  <c r="AI482" i="1" s="1"/>
  <c r="AH486" i="1"/>
  <c r="AI486" i="1" s="1"/>
  <c r="AH507" i="1"/>
  <c r="AI507" i="1" s="1"/>
  <c r="AH459" i="1"/>
  <c r="AI459" i="1" s="1"/>
  <c r="AH529" i="1"/>
  <c r="AI529" i="1" s="1"/>
  <c r="AH447" i="1"/>
  <c r="AI447" i="1" s="1"/>
  <c r="AH498" i="1"/>
  <c r="AI498" i="1" s="1"/>
  <c r="AH479" i="1"/>
  <c r="AI479" i="1" s="1"/>
  <c r="AH499" i="1"/>
  <c r="AI499" i="1" s="1"/>
  <c r="AH462" i="1"/>
  <c r="AI462" i="1" s="1"/>
  <c r="AH481" i="1"/>
  <c r="AI481" i="1" s="1"/>
  <c r="AH535" i="1"/>
  <c r="AI535" i="1" s="1"/>
  <c r="AH453" i="1"/>
  <c r="AI453" i="1" s="1"/>
  <c r="AH537" i="1"/>
  <c r="AI537" i="1" s="1"/>
  <c r="AH528" i="1"/>
  <c r="AI528" i="1" s="1"/>
  <c r="AH491" i="1"/>
  <c r="AI491" i="1" s="1"/>
  <c r="AH494" i="1"/>
  <c r="AI494" i="1" s="1"/>
  <c r="AH530" i="1"/>
  <c r="AI530" i="1" s="1"/>
  <c r="AH493" i="1"/>
  <c r="AI493" i="1" s="1"/>
  <c r="AH539" i="1"/>
  <c r="AI539" i="1" s="1"/>
  <c r="AH446" i="1"/>
  <c r="AI446" i="1" s="1"/>
  <c r="AH458" i="1"/>
  <c r="AI458" i="1" s="1"/>
  <c r="AH509" i="1"/>
  <c r="AI509" i="1" s="1"/>
  <c r="AH501" i="1"/>
  <c r="AI501" i="1" s="1"/>
  <c r="AH465" i="1"/>
  <c r="AI465" i="1" s="1"/>
  <c r="AH526" i="1"/>
  <c r="AI526" i="1" s="1"/>
  <c r="AH475" i="1"/>
  <c r="AI475" i="1" s="1"/>
  <c r="AH502" i="1"/>
  <c r="AI502" i="1" s="1"/>
  <c r="AH542" i="1"/>
  <c r="AI542" i="1" s="1"/>
  <c r="AH455" i="1"/>
  <c r="AI455" i="1" s="1"/>
  <c r="AH522" i="1"/>
  <c r="AI522" i="1" s="1"/>
  <c r="AH500" i="1"/>
  <c r="AI500" i="1" s="1"/>
  <c r="AH513" i="1"/>
  <c r="AI513" i="1" s="1"/>
  <c r="AH490" i="1"/>
  <c r="AI490" i="1" s="1"/>
  <c r="AH540" i="1"/>
  <c r="AI540" i="1" s="1"/>
  <c r="AH497" i="1"/>
  <c r="AI497" i="1" s="1"/>
  <c r="AH531" i="1"/>
  <c r="AI531" i="1" s="1"/>
  <c r="AH520" i="1"/>
  <c r="AI520" i="1" s="1"/>
  <c r="AH461" i="1"/>
  <c r="AI461" i="1" s="1"/>
  <c r="AH510" i="1"/>
  <c r="AI510" i="1" s="1"/>
  <c r="AH517" i="1"/>
  <c r="AI517" i="1" s="1"/>
  <c r="AH476" i="1"/>
  <c r="AI476" i="1" s="1"/>
  <c r="AH469" i="1"/>
  <c r="AI469" i="1" s="1"/>
  <c r="AH451" i="1"/>
  <c r="AI451" i="1" s="1"/>
  <c r="AH541" i="1"/>
  <c r="AI541" i="1" s="1"/>
  <c r="AH518" i="1"/>
  <c r="AI518" i="1" s="1"/>
  <c r="AH495" i="1"/>
  <c r="AI495" i="1" s="1"/>
  <c r="AH525" i="1"/>
  <c r="AI525" i="1" s="1"/>
  <c r="AH473" i="1"/>
  <c r="AI473" i="1" s="1"/>
  <c r="AH485" i="1"/>
  <c r="AI485" i="1" s="1"/>
  <c r="AH519" i="1"/>
  <c r="AI519" i="1" s="1"/>
  <c r="AH472" i="1"/>
  <c r="AI472" i="1" s="1"/>
  <c r="AH536" i="1"/>
  <c r="AI536" i="1" s="1"/>
  <c r="AH450" i="1"/>
  <c r="AI450" i="1" s="1"/>
  <c r="AH505" i="1"/>
  <c r="AI505" i="1" s="1"/>
  <c r="AH468" i="1"/>
  <c r="AI468" i="1" s="1"/>
  <c r="AH457" i="1"/>
  <c r="AI457" i="1" s="1"/>
  <c r="AH456" i="1"/>
  <c r="AI456" i="1" s="1"/>
  <c r="AH532" i="1"/>
  <c r="AI532" i="1" s="1"/>
  <c r="AH489" i="1"/>
  <c r="AI489" i="1" s="1"/>
  <c r="AH538" i="1"/>
  <c r="AI538" i="1" s="1"/>
  <c r="AH471" i="1"/>
  <c r="AI471" i="1" s="1"/>
  <c r="AH534" i="1"/>
  <c r="AI534" i="1" s="1"/>
  <c r="AH506" i="1"/>
  <c r="AI506" i="1" s="1"/>
  <c r="AH496" i="1"/>
  <c r="AI496" i="1" s="1"/>
  <c r="AH492" i="1"/>
  <c r="AI492" i="1" s="1"/>
  <c r="AH521" i="1"/>
  <c r="AI521" i="1" s="1"/>
  <c r="AH478" i="1"/>
  <c r="AI478" i="1" s="1"/>
  <c r="AH445" i="1"/>
  <c r="AI445" i="1" s="1"/>
  <c r="AH488" i="1"/>
  <c r="AI488" i="1" s="1"/>
  <c r="AH512" i="1"/>
  <c r="AI512" i="1" s="1"/>
  <c r="AH474" i="1"/>
  <c r="AI474" i="1" s="1"/>
  <c r="AH508" i="1"/>
  <c r="AI508" i="1" s="1"/>
  <c r="AH466" i="1"/>
  <c r="AI466" i="1" s="1"/>
  <c r="AH449" i="1"/>
  <c r="AI449" i="1" s="1"/>
  <c r="AH511" i="1"/>
  <c r="AI511" i="1" s="1"/>
  <c r="AH198" i="1"/>
  <c r="AI198" i="1" s="1"/>
  <c r="AH158" i="1"/>
  <c r="AI158" i="1" s="1"/>
  <c r="AH169" i="1"/>
  <c r="AI169" i="1" s="1"/>
  <c r="AH47" i="1"/>
  <c r="AI47" i="1" s="1"/>
  <c r="AH286" i="1"/>
  <c r="AI286" i="1" s="1"/>
  <c r="AH260" i="1"/>
  <c r="AI260" i="1" s="1"/>
  <c r="AH248" i="1"/>
  <c r="AI248" i="1" s="1"/>
  <c r="AH254" i="1"/>
  <c r="AI254" i="1" s="1"/>
  <c r="AH231" i="1"/>
  <c r="AI231" i="1" s="1"/>
  <c r="AH261" i="1"/>
  <c r="AI261" i="1" s="1"/>
  <c r="AH315" i="1"/>
  <c r="AI315" i="1" s="1"/>
  <c r="AH422" i="1"/>
  <c r="AI422" i="1" s="1"/>
  <c r="AH393" i="1"/>
  <c r="AI393" i="1" s="1"/>
  <c r="AH267" i="1"/>
  <c r="AI267" i="1" s="1"/>
  <c r="AH186" i="1"/>
  <c r="AI186" i="1" s="1"/>
  <c r="AH126" i="1"/>
  <c r="AI126" i="1" s="1"/>
  <c r="AH138" i="1"/>
  <c r="AI138" i="1" s="1"/>
  <c r="AH156" i="1"/>
  <c r="AI156" i="1" s="1"/>
  <c r="AH414" i="1"/>
  <c r="AI414" i="1" s="1"/>
  <c r="AH392" i="1"/>
  <c r="AI392" i="1" s="1"/>
  <c r="AH56" i="1"/>
  <c r="AI56" i="1" s="1"/>
  <c r="AH96" i="1"/>
  <c r="AI96" i="1" s="1"/>
  <c r="AH100" i="1"/>
  <c r="AI100" i="1" s="1"/>
  <c r="AH439" i="1"/>
  <c r="AI439" i="1" s="1"/>
  <c r="AH193" i="1"/>
  <c r="AI193" i="1" s="1"/>
  <c r="AH114" i="1"/>
  <c r="AI114" i="1" s="1"/>
  <c r="AH247" i="1"/>
  <c r="AI247" i="1" s="1"/>
  <c r="AH269" i="1"/>
  <c r="AI269" i="1" s="1"/>
  <c r="AH349" i="1"/>
  <c r="AI349" i="1" s="1"/>
  <c r="AH333" i="1"/>
  <c r="AI333" i="1" s="1"/>
  <c r="AH346" i="1"/>
  <c r="AI346" i="1" s="1"/>
  <c r="AH356" i="1"/>
  <c r="AI356" i="1" s="1"/>
  <c r="AH354" i="1"/>
  <c r="AI354" i="1" s="1"/>
  <c r="AH191" i="1"/>
  <c r="AI191" i="1" s="1"/>
  <c r="AH389" i="1"/>
  <c r="AI389" i="1" s="1"/>
  <c r="AH312" i="1"/>
  <c r="AI312" i="1" s="1"/>
  <c r="AH409" i="1"/>
  <c r="AI409" i="1" s="1"/>
  <c r="AH255" i="1"/>
  <c r="AI255" i="1" s="1"/>
  <c r="AH46" i="1"/>
  <c r="AI46" i="1" s="1"/>
  <c r="AH232" i="1"/>
  <c r="AI232" i="1" s="1"/>
  <c r="AH278" i="1"/>
  <c r="AI278" i="1" s="1"/>
  <c r="AH189" i="1"/>
  <c r="AI189" i="1" s="1"/>
  <c r="AH366" i="1"/>
  <c r="AI366" i="1" s="1"/>
  <c r="AH285" i="1"/>
  <c r="AI285" i="1" s="1"/>
  <c r="AH441" i="1"/>
  <c r="AI441" i="1" s="1"/>
  <c r="AH425" i="1"/>
  <c r="AI425" i="1" s="1"/>
  <c r="AH130" i="1"/>
  <c r="AI130" i="1" s="1"/>
  <c r="AH210" i="1"/>
  <c r="AI210" i="1" s="1"/>
  <c r="AH222" i="1"/>
  <c r="AI222" i="1" s="1"/>
  <c r="AH371" i="1"/>
  <c r="AI371" i="1" s="1"/>
  <c r="AH242" i="1"/>
  <c r="AI242" i="1" s="1"/>
  <c r="AH230" i="1"/>
  <c r="AI230" i="1" s="1"/>
  <c r="AH406" i="1"/>
  <c r="AI406" i="1" s="1"/>
  <c r="AH415" i="1"/>
  <c r="AI415" i="1" s="1"/>
  <c r="AH296" i="1"/>
  <c r="AI296" i="1" s="1"/>
  <c r="AH279" i="1"/>
  <c r="AI279" i="1" s="1"/>
  <c r="AH237" i="1"/>
  <c r="AI237" i="1" s="1"/>
  <c r="AH377" i="1"/>
  <c r="AI377" i="1" s="1"/>
  <c r="AH239" i="1"/>
  <c r="AI239" i="1" s="1"/>
  <c r="AH215" i="1"/>
  <c r="AI215" i="1" s="1"/>
  <c r="AH212" i="1"/>
  <c r="AI212" i="1" s="1"/>
  <c r="AH280" i="1"/>
  <c r="AI280" i="1" s="1"/>
  <c r="AH268" i="1"/>
  <c r="AI268" i="1" s="1"/>
  <c r="AH256" i="1"/>
  <c r="AI256" i="1" s="1"/>
  <c r="AH274" i="1"/>
  <c r="AI274" i="1" s="1"/>
  <c r="AH281" i="1"/>
  <c r="AI281" i="1" s="1"/>
  <c r="AH133" i="1"/>
  <c r="AI133" i="1" s="1"/>
  <c r="AH115" i="1"/>
  <c r="AI115" i="1" s="1"/>
  <c r="AH141" i="1"/>
  <c r="AI141" i="1" s="1"/>
  <c r="AH70" i="1"/>
  <c r="AI70" i="1" s="1"/>
  <c r="AH194" i="1"/>
  <c r="AI194" i="1" s="1"/>
  <c r="AH430" i="1"/>
  <c r="AI430" i="1" s="1"/>
  <c r="AH402" i="1"/>
  <c r="AI402" i="1" s="1"/>
  <c r="AH297" i="1"/>
  <c r="AI297" i="1" s="1"/>
  <c r="AH337" i="1"/>
  <c r="AI337" i="1" s="1"/>
  <c r="AH179" i="1"/>
  <c r="AI179" i="1" s="1"/>
  <c r="AH238" i="1"/>
  <c r="AI238" i="1" s="1"/>
  <c r="AH182" i="1"/>
  <c r="AI182" i="1" s="1"/>
  <c r="AH265" i="1"/>
  <c r="AI265" i="1" s="1"/>
  <c r="AH345" i="1"/>
  <c r="AI345" i="1" s="1"/>
  <c r="AH357" i="1"/>
  <c r="AI357" i="1" s="1"/>
  <c r="AH355" i="1"/>
  <c r="AI355" i="1" s="1"/>
  <c r="AH287" i="1"/>
  <c r="AI287" i="1" s="1"/>
  <c r="AH314" i="1"/>
  <c r="AI314" i="1" s="1"/>
  <c r="AH306" i="1"/>
  <c r="AI306" i="1" s="1"/>
  <c r="AH338" i="1"/>
  <c r="AI338" i="1" s="1"/>
  <c r="AH413" i="1"/>
  <c r="AI413" i="1" s="1"/>
  <c r="AH412" i="1"/>
  <c r="AI412" i="1" s="1"/>
  <c r="AH411" i="1"/>
  <c r="AI411" i="1" s="1"/>
  <c r="AH293" i="1"/>
  <c r="AI293" i="1" s="1"/>
  <c r="AH380" i="1"/>
  <c r="AI380" i="1" s="1"/>
  <c r="AH318" i="1"/>
  <c r="AI318" i="1" s="1"/>
  <c r="AH368" i="1"/>
  <c r="AI368" i="1" s="1"/>
  <c r="AH316" i="1"/>
  <c r="AI316" i="1" s="1"/>
  <c r="AH379" i="1"/>
  <c r="AI379" i="1" s="1"/>
  <c r="AH221" i="1"/>
  <c r="AI221" i="1" s="1"/>
  <c r="AH381" i="1"/>
  <c r="AI381" i="1" s="1"/>
  <c r="AH207" i="1"/>
  <c r="AI207" i="1" s="1"/>
  <c r="AH434" i="1"/>
  <c r="AI434" i="1" s="1"/>
  <c r="AH385" i="1"/>
  <c r="AI385" i="1" s="1"/>
  <c r="AH396" i="1"/>
  <c r="AI396" i="1" s="1"/>
  <c r="AH438" i="1"/>
  <c r="AI438" i="1" s="1"/>
  <c r="AH78" i="1"/>
  <c r="AI78" i="1" s="1"/>
  <c r="AH429" i="1"/>
  <c r="AI429" i="1" s="1"/>
  <c r="AH407" i="1"/>
  <c r="AI407" i="1" s="1"/>
  <c r="AH420" i="1"/>
  <c r="AI420" i="1" s="1"/>
  <c r="AH428" i="1"/>
  <c r="AI428" i="1" s="1"/>
  <c r="AH437" i="1"/>
  <c r="AI437" i="1" s="1"/>
  <c r="AH431" i="1"/>
  <c r="AI431" i="1" s="1"/>
  <c r="AH61" i="1"/>
  <c r="AI61" i="1" s="1"/>
  <c r="AH176" i="1"/>
  <c r="AI176" i="1" s="1"/>
  <c r="AH358" i="1"/>
  <c r="AI358" i="1" s="1"/>
  <c r="AH335" i="1"/>
  <c r="AI335" i="1" s="1"/>
  <c r="AH292" i="1"/>
  <c r="AI292" i="1" s="1"/>
  <c r="AH282" i="1"/>
  <c r="AI282" i="1" s="1"/>
  <c r="AH307" i="1"/>
  <c r="AI307" i="1" s="1"/>
  <c r="AH405" i="1"/>
  <c r="AI405" i="1" s="1"/>
  <c r="AH397" i="1"/>
  <c r="AI397" i="1" s="1"/>
  <c r="AH416" i="1"/>
  <c r="AI416" i="1" s="1"/>
  <c r="AH209" i="1"/>
  <c r="AI209" i="1" s="1"/>
  <c r="AH369" i="1"/>
  <c r="AI369" i="1" s="1"/>
  <c r="AH206" i="1"/>
  <c r="AI206" i="1" s="1"/>
  <c r="AH378" i="1"/>
  <c r="AI378" i="1" s="1"/>
  <c r="AH216" i="1"/>
  <c r="AI216" i="1" s="1"/>
  <c r="AH376" i="1"/>
  <c r="AI376" i="1" s="1"/>
  <c r="AH214" i="1"/>
  <c r="AI214" i="1" s="1"/>
  <c r="AH390" i="1"/>
  <c r="AI390" i="1" s="1"/>
  <c r="AH233" i="1"/>
  <c r="AI233" i="1" s="1"/>
  <c r="AH245" i="1"/>
  <c r="AI245" i="1" s="1"/>
  <c r="AH317" i="1"/>
  <c r="AI317" i="1" s="1"/>
  <c r="AH291" i="1"/>
  <c r="AI291" i="1" s="1"/>
  <c r="AH398" i="1"/>
  <c r="AI398" i="1" s="1"/>
  <c r="AH440" i="1"/>
  <c r="AI440" i="1" s="1"/>
  <c r="AH394" i="1"/>
  <c r="AI394" i="1" s="1"/>
  <c r="AH417" i="1"/>
  <c r="AI417" i="1" s="1"/>
  <c r="AH386" i="1"/>
  <c r="AI386" i="1" s="1"/>
  <c r="AH432" i="1"/>
  <c r="AI432" i="1" s="1"/>
  <c r="AH395" i="1"/>
  <c r="AI395" i="1" s="1"/>
  <c r="AH152" i="1"/>
  <c r="AI152" i="1" s="1"/>
  <c r="AH257" i="1"/>
  <c r="AI257" i="1" s="1"/>
  <c r="AH275" i="1"/>
  <c r="AI275" i="1" s="1"/>
  <c r="AH352" i="1"/>
  <c r="AI352" i="1" s="1"/>
  <c r="AH436" i="1"/>
  <c r="AI436" i="1" s="1"/>
  <c r="AH410" i="1"/>
  <c r="AI410" i="1" s="1"/>
  <c r="AH435" i="1"/>
  <c r="AI435" i="1" s="1"/>
  <c r="AH401" i="1"/>
  <c r="AI401" i="1" s="1"/>
  <c r="AH433" i="1"/>
  <c r="AI433" i="1" s="1"/>
  <c r="AH426" i="1"/>
  <c r="AI426" i="1" s="1"/>
  <c r="AH391" i="1"/>
  <c r="AI391" i="1" s="1"/>
  <c r="AH251" i="1"/>
  <c r="AI251" i="1" s="1"/>
  <c r="AH388" i="1"/>
  <c r="AI388" i="1" s="1"/>
  <c r="AH399" i="1"/>
  <c r="AI399" i="1" s="1"/>
  <c r="AH360" i="1"/>
  <c r="AI360" i="1" s="1"/>
  <c r="AH348" i="1"/>
  <c r="AI348" i="1" s="1"/>
  <c r="AH334" i="1"/>
  <c r="AI334" i="1" s="1"/>
  <c r="AH418" i="1"/>
  <c r="AI418" i="1" s="1"/>
  <c r="AH326" i="1"/>
  <c r="AI326" i="1" s="1"/>
  <c r="AH387" i="1"/>
  <c r="AI387" i="1" s="1"/>
  <c r="AH400" i="1"/>
  <c r="AI400" i="1" s="1"/>
  <c r="AH421" i="1"/>
  <c r="AI421" i="1" s="1"/>
  <c r="AH427" i="1"/>
  <c r="AI427" i="1" s="1"/>
  <c r="AH408" i="1"/>
  <c r="AI408" i="1" s="1"/>
  <c r="AH419" i="1"/>
  <c r="AI419" i="1" s="1"/>
  <c r="AH442" i="1"/>
  <c r="AI442" i="1" s="1"/>
  <c r="AH162" i="1"/>
  <c r="AI162" i="1" s="1"/>
  <c r="AH336" i="1"/>
  <c r="AI336" i="1" s="1"/>
  <c r="AH105" i="1"/>
  <c r="AI105" i="1" s="1"/>
  <c r="AH155" i="1"/>
  <c r="AI155" i="1" s="1"/>
  <c r="AH142" i="1"/>
  <c r="AI142" i="1" s="1"/>
  <c r="AH262" i="1"/>
  <c r="AI262" i="1" s="1"/>
  <c r="AH140" i="1"/>
  <c r="AI140" i="1" s="1"/>
  <c r="AH129" i="1"/>
  <c r="AI129" i="1" s="1"/>
  <c r="AH116" i="1"/>
  <c r="AI116" i="1" s="1"/>
  <c r="AH294" i="1"/>
  <c r="AI294" i="1" s="1"/>
  <c r="AH271" i="1"/>
  <c r="AI271" i="1" s="1"/>
  <c r="AH372" i="1"/>
  <c r="AI372" i="1" s="1"/>
  <c r="AH305" i="1"/>
  <c r="AI305" i="1" s="1"/>
  <c r="AH250" i="1"/>
  <c r="AI250" i="1" s="1"/>
  <c r="AH350" i="1"/>
  <c r="AI350" i="1" s="1"/>
  <c r="AH240" i="1"/>
  <c r="AI240" i="1" s="1"/>
  <c r="AH320" i="1"/>
  <c r="AI320" i="1" s="1"/>
  <c r="AH228" i="1"/>
  <c r="AI228" i="1" s="1"/>
  <c r="AH308" i="1"/>
  <c r="AI308" i="1" s="1"/>
  <c r="AH276" i="1"/>
  <c r="AI276" i="1" s="1"/>
  <c r="AH319" i="1"/>
  <c r="AI319" i="1" s="1"/>
  <c r="AH351" i="1"/>
  <c r="AI351" i="1" s="1"/>
  <c r="AH341" i="1"/>
  <c r="AI341" i="1" s="1"/>
  <c r="AH362" i="1"/>
  <c r="AI362" i="1" s="1"/>
  <c r="AH106" i="1"/>
  <c r="AI106" i="1" s="1"/>
  <c r="AH145" i="1"/>
  <c r="AI145" i="1" s="1"/>
  <c r="AH253" i="1"/>
  <c r="AI253" i="1" s="1"/>
  <c r="AH246" i="1"/>
  <c r="AI246" i="1" s="1"/>
  <c r="AH340" i="1"/>
  <c r="AI340" i="1" s="1"/>
  <c r="AH298" i="1"/>
  <c r="AI298" i="1" s="1"/>
  <c r="AH234" i="1"/>
  <c r="AI234" i="1" s="1"/>
  <c r="AH241" i="1"/>
  <c r="AI241" i="1" s="1"/>
  <c r="AH321" i="1"/>
  <c r="AI321" i="1" s="1"/>
  <c r="AH252" i="1"/>
  <c r="AI252" i="1" s="1"/>
  <c r="AH332" i="1"/>
  <c r="AI332" i="1" s="1"/>
  <c r="AH91" i="1"/>
  <c r="AI91" i="1" s="1"/>
  <c r="AH289" i="1"/>
  <c r="AI289" i="1" s="1"/>
  <c r="AH273" i="1"/>
  <c r="AI273" i="1" s="1"/>
  <c r="AH313" i="1"/>
  <c r="AI313" i="1" s="1"/>
  <c r="AH266" i="1"/>
  <c r="AI266" i="1" s="1"/>
  <c r="AH236" i="1"/>
  <c r="AI236" i="1" s="1"/>
  <c r="AH295" i="1"/>
  <c r="AI295" i="1" s="1"/>
  <c r="AH258" i="1"/>
  <c r="AI258" i="1" s="1"/>
  <c r="AH328" i="1"/>
  <c r="AI328" i="1" s="1"/>
  <c r="AH374" i="1"/>
  <c r="AI374" i="1" s="1"/>
  <c r="AH211" i="1"/>
  <c r="AI211" i="1" s="1"/>
  <c r="AH272" i="1"/>
  <c r="AI272" i="1" s="1"/>
  <c r="AH108" i="1"/>
  <c r="AI108" i="1" s="1"/>
  <c r="AH249" i="1"/>
  <c r="AI249" i="1" s="1"/>
  <c r="AH226" i="1"/>
  <c r="AI226" i="1" s="1"/>
  <c r="AH290" i="1"/>
  <c r="AI290" i="1" s="1"/>
  <c r="AH302" i="1"/>
  <c r="AI302" i="1" s="1"/>
  <c r="AH113" i="1"/>
  <c r="AI113" i="1" s="1"/>
  <c r="AH125" i="1"/>
  <c r="AI125" i="1" s="1"/>
  <c r="AH134" i="1"/>
  <c r="AI134" i="1" s="1"/>
  <c r="AH139" i="1"/>
  <c r="AI139" i="1" s="1"/>
  <c r="AH111" i="1"/>
  <c r="AI111" i="1" s="1"/>
  <c r="AH329" i="1"/>
  <c r="AI329" i="1" s="1"/>
  <c r="AH353" i="1"/>
  <c r="AI353" i="1" s="1"/>
  <c r="AH325" i="1"/>
  <c r="AI325" i="1" s="1"/>
  <c r="AH370" i="1"/>
  <c r="AI370" i="1" s="1"/>
  <c r="AH218" i="1"/>
  <c r="AI218" i="1" s="1"/>
  <c r="AH339" i="1"/>
  <c r="AI339" i="1" s="1"/>
  <c r="AH382" i="1"/>
  <c r="AI382" i="1" s="1"/>
  <c r="AH227" i="1"/>
  <c r="AI227" i="1" s="1"/>
  <c r="AH327" i="1"/>
  <c r="AI327" i="1" s="1"/>
  <c r="AH153" i="1"/>
  <c r="AI153" i="1" s="1"/>
  <c r="AH120" i="1"/>
  <c r="AI120" i="1" s="1"/>
  <c r="AH157" i="1"/>
  <c r="AI157" i="1" s="1"/>
  <c r="AH167" i="1"/>
  <c r="AI167" i="1" s="1"/>
  <c r="AH229" i="1"/>
  <c r="AI229" i="1" s="1"/>
  <c r="AH309" i="1"/>
  <c r="AI309" i="1" s="1"/>
  <c r="AH270" i="1"/>
  <c r="AI270" i="1" s="1"/>
  <c r="AH330" i="1"/>
  <c r="AI330" i="1" s="1"/>
  <c r="AH299" i="1"/>
  <c r="AI299" i="1" s="1"/>
  <c r="AH331" i="1"/>
  <c r="AI331" i="1" s="1"/>
  <c r="AH342" i="1"/>
  <c r="AI342" i="1" s="1"/>
  <c r="AH310" i="1"/>
  <c r="AI310" i="1" s="1"/>
  <c r="AH311" i="1"/>
  <c r="AI311" i="1" s="1"/>
  <c r="AH322" i="1"/>
  <c r="AI322" i="1" s="1"/>
  <c r="AH213" i="1"/>
  <c r="AI213" i="1" s="1"/>
  <c r="AH373" i="1"/>
  <c r="AI373" i="1" s="1"/>
  <c r="AH300" i="1"/>
  <c r="AI300" i="1" s="1"/>
  <c r="AH288" i="1"/>
  <c r="AI288" i="1" s="1"/>
  <c r="AH277" i="1"/>
  <c r="AI277" i="1" s="1"/>
  <c r="AH259" i="1"/>
  <c r="AI259" i="1" s="1"/>
  <c r="AH359" i="1"/>
  <c r="AI359" i="1" s="1"/>
  <c r="AH235" i="1"/>
  <c r="AI235" i="1" s="1"/>
  <c r="AH301" i="1"/>
  <c r="AI301" i="1" s="1"/>
  <c r="AH361" i="1"/>
  <c r="AI361" i="1" s="1"/>
  <c r="AH347" i="1"/>
  <c r="AI347" i="1" s="1"/>
  <c r="AH119" i="1"/>
  <c r="AI119" i="1" s="1"/>
  <c r="AH170" i="1"/>
  <c r="AI170" i="1" s="1"/>
  <c r="AH181" i="1"/>
  <c r="AI181" i="1" s="1"/>
  <c r="AH208" i="1"/>
  <c r="AI208" i="1" s="1"/>
  <c r="AH375" i="1"/>
  <c r="AI375" i="1" s="1"/>
  <c r="AH173" i="1"/>
  <c r="AI173" i="1" s="1"/>
  <c r="AH205" i="1"/>
  <c r="AI205" i="1" s="1"/>
  <c r="AH225" i="1"/>
  <c r="AI225" i="1" s="1"/>
  <c r="AH365" i="1"/>
  <c r="AI365" i="1" s="1"/>
  <c r="AH220" i="1"/>
  <c r="AI220" i="1" s="1"/>
  <c r="AH217" i="1"/>
  <c r="AI217" i="1" s="1"/>
  <c r="AH219" i="1"/>
  <c r="AI219" i="1" s="1"/>
  <c r="AH367" i="1"/>
  <c r="AI367" i="1" s="1"/>
  <c r="AH168" i="1"/>
  <c r="AI168" i="1" s="1"/>
  <c r="AH171" i="1"/>
  <c r="AI171" i="1" s="1"/>
  <c r="AH178" i="1"/>
  <c r="AI178" i="1" s="1"/>
  <c r="AH94" i="1"/>
  <c r="AI94" i="1" s="1"/>
  <c r="AH188" i="1"/>
  <c r="AI188" i="1" s="1"/>
  <c r="AH174" i="1"/>
  <c r="AI174" i="1" s="1"/>
  <c r="AH118" i="1"/>
  <c r="AI118" i="1" s="1"/>
  <c r="AH159" i="1"/>
  <c r="AI159" i="1" s="1"/>
  <c r="AH180" i="1"/>
  <c r="AI180" i="1" s="1"/>
  <c r="AH172" i="1"/>
  <c r="AI172" i="1" s="1"/>
  <c r="AH175" i="1"/>
  <c r="AI175" i="1" s="1"/>
  <c r="AH202" i="1"/>
  <c r="AI202" i="1" s="1"/>
  <c r="AH147" i="1"/>
  <c r="AI147" i="1" s="1"/>
  <c r="AH195" i="1"/>
  <c r="AI195" i="1" s="1"/>
  <c r="AH187" i="1"/>
  <c r="AI187" i="1" s="1"/>
  <c r="AH185" i="1"/>
  <c r="AI185" i="1" s="1"/>
  <c r="AH128" i="1"/>
  <c r="AI128" i="1" s="1"/>
  <c r="AH131" i="1"/>
  <c r="AI131" i="1" s="1"/>
  <c r="AH196" i="1"/>
  <c r="AI196" i="1" s="1"/>
  <c r="AH177" i="1"/>
  <c r="AI177" i="1" s="1"/>
  <c r="AH166" i="1"/>
  <c r="AI166" i="1" s="1"/>
  <c r="AH197" i="1"/>
  <c r="AI197" i="1" s="1"/>
  <c r="AH190" i="1"/>
  <c r="AI190" i="1" s="1"/>
  <c r="AH165" i="1"/>
  <c r="AI165" i="1" s="1"/>
  <c r="AH192" i="1"/>
  <c r="AI192" i="1" s="1"/>
  <c r="AH137" i="1"/>
  <c r="AI137" i="1" s="1"/>
  <c r="AH107" i="1"/>
  <c r="AI107" i="1" s="1"/>
  <c r="AH151" i="1"/>
  <c r="AI151" i="1" s="1"/>
  <c r="AH136" i="1"/>
  <c r="AI136" i="1" s="1"/>
  <c r="AH135" i="1"/>
  <c r="AI135" i="1" s="1"/>
  <c r="AH148" i="1"/>
  <c r="AI148" i="1" s="1"/>
  <c r="AH77" i="1"/>
  <c r="AI77" i="1" s="1"/>
  <c r="AH112" i="1"/>
  <c r="AI112" i="1" s="1"/>
  <c r="AH160" i="1"/>
  <c r="AI160" i="1" s="1"/>
  <c r="AH150" i="1"/>
  <c r="AI150" i="1" s="1"/>
  <c r="AH149" i="1"/>
  <c r="AI149" i="1" s="1"/>
  <c r="AH121" i="1"/>
  <c r="AI121" i="1" s="1"/>
  <c r="AH132" i="1"/>
  <c r="AI132" i="1" s="1"/>
  <c r="AH117" i="1"/>
  <c r="AI117" i="1" s="1"/>
  <c r="AH68" i="1"/>
  <c r="AI68" i="1" s="1"/>
  <c r="AH98" i="1"/>
  <c r="AI98" i="1" s="1"/>
  <c r="AH69" i="1"/>
  <c r="AI69" i="1" s="1"/>
  <c r="AH154" i="1"/>
  <c r="AI154" i="1" s="1"/>
  <c r="AH73" i="1"/>
  <c r="AI73" i="1" s="1"/>
  <c r="AH89" i="1"/>
  <c r="AI89" i="1" s="1"/>
  <c r="AH122" i="1"/>
  <c r="AI122" i="1" s="1"/>
  <c r="AH110" i="1"/>
  <c r="AI110" i="1" s="1"/>
  <c r="AH109" i="1"/>
  <c r="AI109" i="1" s="1"/>
  <c r="AH161" i="1"/>
  <c r="AI161" i="1" s="1"/>
  <c r="AH127" i="1"/>
  <c r="AI127" i="1" s="1"/>
  <c r="AH79" i="1"/>
  <c r="AI79" i="1" s="1"/>
  <c r="AH97" i="1"/>
  <c r="AI97" i="1" s="1"/>
  <c r="AH86" i="1"/>
  <c r="AI86" i="1" s="1"/>
  <c r="AH87" i="1"/>
  <c r="AI87" i="1" s="1"/>
  <c r="AH99" i="1"/>
  <c r="AI99" i="1" s="1"/>
  <c r="AH95" i="1"/>
  <c r="AI95" i="1" s="1"/>
  <c r="AH81" i="1"/>
  <c r="AI81" i="1" s="1"/>
  <c r="AH80" i="1"/>
  <c r="AI80" i="1" s="1"/>
  <c r="AH76" i="1"/>
  <c r="AI76" i="1" s="1"/>
  <c r="AH101" i="1"/>
  <c r="AI101" i="1" s="1"/>
  <c r="AH102" i="1"/>
  <c r="AI102" i="1" s="1"/>
  <c r="AH74" i="1"/>
  <c r="AI74" i="1" s="1"/>
  <c r="AH93" i="1"/>
  <c r="AI93" i="1" s="1"/>
  <c r="AH72" i="1"/>
  <c r="AI72" i="1" s="1"/>
  <c r="AH85" i="1"/>
  <c r="AI85" i="1" s="1"/>
  <c r="AH92" i="1"/>
  <c r="AI92" i="1" s="1"/>
  <c r="AH66" i="1"/>
  <c r="AI66" i="1" s="1"/>
  <c r="AH65" i="1"/>
  <c r="AI65" i="1" s="1"/>
  <c r="AH67" i="1"/>
  <c r="AI67" i="1" s="1"/>
  <c r="AH90" i="1"/>
  <c r="AI90" i="1" s="1"/>
  <c r="AH71" i="1"/>
  <c r="AI71" i="1" s="1"/>
  <c r="AH54" i="1"/>
  <c r="AI54" i="1" s="1"/>
  <c r="AH49" i="1"/>
  <c r="AI49" i="1" s="1"/>
  <c r="AH75" i="1"/>
  <c r="AI75" i="1" s="1"/>
  <c r="AH82" i="1"/>
  <c r="AI82" i="1" s="1"/>
  <c r="AH62" i="1"/>
  <c r="AI62" i="1" s="1"/>
  <c r="AH58" i="1"/>
  <c r="AI58" i="1" s="1"/>
  <c r="AH51" i="1"/>
  <c r="AI51" i="1" s="1"/>
  <c r="AH57" i="1"/>
  <c r="AI57" i="1" s="1"/>
  <c r="AH45" i="1"/>
  <c r="AI45" i="1" s="1"/>
  <c r="AH50" i="1"/>
  <c r="AI50" i="1" s="1"/>
  <c r="AH53" i="1"/>
  <c r="AI53" i="1" s="1"/>
  <c r="AH59" i="1"/>
  <c r="AI59" i="1" s="1"/>
  <c r="AH52" i="1"/>
  <c r="AI52" i="1" s="1"/>
  <c r="AH60" i="1"/>
  <c r="AI60" i="1" s="1"/>
  <c r="AH48" i="1"/>
  <c r="AI48" i="1" s="1"/>
  <c r="AH55" i="1"/>
  <c r="AI55" i="1" s="1"/>
  <c r="T4" i="1"/>
  <c r="Y686" i="1" l="1"/>
  <c r="W686" i="1" s="1"/>
  <c r="AN3" i="15" s="1"/>
  <c r="Y687" i="1"/>
  <c r="W687" i="1" s="1"/>
  <c r="AN4" i="15" s="1"/>
  <c r="Y697" i="1"/>
  <c r="W697" i="1" s="1"/>
  <c r="AN14" i="15" s="1"/>
  <c r="Y694" i="1"/>
  <c r="W694" i="1" s="1"/>
  <c r="AN11" i="15" s="1"/>
  <c r="Y700" i="1"/>
  <c r="W700" i="1" s="1"/>
  <c r="AN17" i="15" s="1"/>
  <c r="Y696" i="1"/>
  <c r="W696" i="1" s="1"/>
  <c r="AN13" i="15" s="1"/>
  <c r="Y692" i="1"/>
  <c r="W692" i="1" s="1"/>
  <c r="AN9" i="15" s="1"/>
  <c r="Y698" i="1"/>
  <c r="W698" i="1" s="1"/>
  <c r="AN15" i="15" s="1"/>
  <c r="Y702" i="1"/>
  <c r="W702" i="1" s="1"/>
  <c r="AN19" i="15" s="1"/>
  <c r="Y701" i="1"/>
  <c r="W701" i="1" s="1"/>
  <c r="AN18" i="15" s="1"/>
  <c r="Y695" i="1"/>
  <c r="W695" i="1" s="1"/>
  <c r="AN12" i="15" s="1"/>
  <c r="Y685" i="1"/>
  <c r="W685" i="1" s="1"/>
  <c r="AN2" i="15" s="1"/>
  <c r="Y693" i="1"/>
  <c r="W693" i="1" s="1"/>
  <c r="AN10" i="15" s="1"/>
  <c r="Y689" i="1"/>
  <c r="W689" i="1" s="1"/>
  <c r="AN6" i="15" s="1"/>
  <c r="Y688" i="1"/>
  <c r="W688" i="1" s="1"/>
  <c r="AN5" i="15" s="1"/>
  <c r="Y690" i="1"/>
  <c r="W690" i="1" s="1"/>
  <c r="AN7" i="15" s="1"/>
  <c r="Y665" i="1"/>
  <c r="W665" i="1" s="1"/>
  <c r="Y691" i="1"/>
  <c r="W691" i="1" s="1"/>
  <c r="AN8" i="15" s="1"/>
  <c r="Y699" i="1"/>
  <c r="W699" i="1" s="1"/>
  <c r="AN16" i="15" s="1"/>
  <c r="P9" i="10"/>
  <c r="K4" i="10"/>
  <c r="Y42" i="1"/>
  <c r="W42" i="1" s="1"/>
  <c r="C26" i="14" s="1"/>
  <c r="Y32" i="1"/>
  <c r="W32" i="1" s="1"/>
  <c r="C16" i="14" s="1"/>
  <c r="Y28" i="1"/>
  <c r="W28" i="1" s="1"/>
  <c r="C12" i="14" s="1"/>
  <c r="Y40" i="1"/>
  <c r="W40" i="1" s="1"/>
  <c r="C24" i="14" s="1"/>
  <c r="Y36" i="1"/>
  <c r="W36" i="1" s="1"/>
  <c r="C20" i="14" s="1"/>
  <c r="Y37" i="1"/>
  <c r="W37" i="1" s="1"/>
  <c r="C21" i="14" s="1"/>
  <c r="Y31" i="1"/>
  <c r="W31" i="1" s="1"/>
  <c r="C15" i="14" s="1"/>
  <c r="Y35" i="1"/>
  <c r="W35" i="1" s="1"/>
  <c r="C19" i="14" s="1"/>
  <c r="Y38" i="1"/>
  <c r="W38" i="1" s="1"/>
  <c r="C22" i="14" s="1"/>
  <c r="Y26" i="1"/>
  <c r="W26" i="1" s="1"/>
  <c r="C10" i="14" s="1"/>
  <c r="Y27" i="1"/>
  <c r="W27" i="1" s="1"/>
  <c r="C11" i="14" s="1"/>
  <c r="C5" i="14" s="1"/>
  <c r="Y29" i="1"/>
  <c r="W29" i="1" s="1"/>
  <c r="C13" i="14" s="1"/>
  <c r="Y33" i="1"/>
  <c r="W33" i="1" s="1"/>
  <c r="C17" i="14" s="1"/>
  <c r="Y39" i="1"/>
  <c r="W39" i="1" s="1"/>
  <c r="C23" i="14" s="1"/>
  <c r="Y30" i="1"/>
  <c r="W30" i="1" s="1"/>
  <c r="C14" i="14" s="1"/>
  <c r="Y34" i="1"/>
  <c r="W34" i="1" s="1"/>
  <c r="C18" i="14" s="1"/>
  <c r="Y25" i="1"/>
  <c r="W25" i="1" s="1"/>
  <c r="C9" i="14" s="1"/>
  <c r="Y41" i="1"/>
  <c r="W41" i="1" s="1"/>
  <c r="C25" i="14" s="1"/>
  <c r="Y45" i="1"/>
  <c r="W45" i="1" s="1"/>
  <c r="D9" i="14" s="1"/>
  <c r="Y677" i="1"/>
  <c r="W677" i="1" s="1"/>
  <c r="Y666" i="1"/>
  <c r="W666" i="1" s="1"/>
  <c r="Y678" i="1"/>
  <c r="W678" i="1" s="1"/>
  <c r="Y668" i="1"/>
  <c r="W668" i="1" s="1"/>
  <c r="Y672" i="1"/>
  <c r="W672" i="1" s="1"/>
  <c r="Y673" i="1"/>
  <c r="W673" i="1" s="1"/>
  <c r="Y674" i="1"/>
  <c r="W674" i="1" s="1"/>
  <c r="Y682" i="1"/>
  <c r="W682" i="1" s="1"/>
  <c r="Y669" i="1"/>
  <c r="W669" i="1" s="1"/>
  <c r="Y679" i="1"/>
  <c r="W679" i="1" s="1"/>
  <c r="Y675" i="1"/>
  <c r="W675" i="1" s="1"/>
  <c r="Y671" i="1"/>
  <c r="W671" i="1" s="1"/>
  <c r="Y681" i="1"/>
  <c r="W681" i="1" s="1"/>
  <c r="Y667" i="1"/>
  <c r="W667" i="1" s="1"/>
  <c r="Y676" i="1"/>
  <c r="W676" i="1" s="1"/>
  <c r="Y670" i="1"/>
  <c r="W670" i="1" s="1"/>
  <c r="Y680" i="1"/>
  <c r="W680" i="1" s="1"/>
  <c r="Y635" i="1"/>
  <c r="W635" i="1" s="1"/>
  <c r="Y616" i="1"/>
  <c r="W616" i="1" s="1"/>
  <c r="Y639" i="1"/>
  <c r="W639" i="1" s="1"/>
  <c r="Y640" i="1"/>
  <c r="W640" i="1" s="1"/>
  <c r="Y618" i="1"/>
  <c r="W618" i="1" s="1"/>
  <c r="Y629" i="1"/>
  <c r="W629" i="1" s="1"/>
  <c r="Y574" i="1"/>
  <c r="W574" i="1" s="1"/>
  <c r="Y582" i="1"/>
  <c r="W582" i="1" s="1"/>
  <c r="Y615" i="1"/>
  <c r="W615" i="1" s="1"/>
  <c r="Y642" i="1"/>
  <c r="W642" i="1" s="1"/>
  <c r="Y549" i="1"/>
  <c r="W549" i="1" s="1"/>
  <c r="Y572" i="1"/>
  <c r="W572" i="1" s="1"/>
  <c r="Y601" i="1"/>
  <c r="W601" i="1" s="1"/>
  <c r="Y649" i="1"/>
  <c r="W649" i="1" s="1"/>
  <c r="Y660" i="1"/>
  <c r="W660" i="1" s="1"/>
  <c r="Y593" i="1"/>
  <c r="W593" i="1" s="1"/>
  <c r="Y621" i="1"/>
  <c r="W621" i="1" s="1"/>
  <c r="Y545" i="1"/>
  <c r="W545" i="1" s="1"/>
  <c r="Y562" i="1"/>
  <c r="W562" i="1" s="1"/>
  <c r="Y570" i="1"/>
  <c r="W570" i="1" s="1"/>
  <c r="Y590" i="1"/>
  <c r="W590" i="1" s="1"/>
  <c r="Y595" i="1"/>
  <c r="W595" i="1" s="1"/>
  <c r="Y561" i="1"/>
  <c r="W561" i="1" s="1"/>
  <c r="Y627" i="1"/>
  <c r="W627" i="1" s="1"/>
  <c r="Y613" i="1"/>
  <c r="W613" i="1" s="1"/>
  <c r="Y632" i="1"/>
  <c r="W632" i="1" s="1"/>
  <c r="Y641" i="1"/>
  <c r="W641" i="1" s="1"/>
  <c r="Y630" i="1"/>
  <c r="W630" i="1" s="1"/>
  <c r="Y599" i="1"/>
  <c r="W599" i="1" s="1"/>
  <c r="Y585" i="1"/>
  <c r="W585" i="1" s="1"/>
  <c r="Y581" i="1"/>
  <c r="W581" i="1" s="1"/>
  <c r="Y547" i="1"/>
  <c r="W547" i="1" s="1"/>
  <c r="Y573" i="1"/>
  <c r="W573" i="1" s="1"/>
  <c r="Y596" i="1"/>
  <c r="W596" i="1" s="1"/>
  <c r="Y622" i="1"/>
  <c r="W622" i="1" s="1"/>
  <c r="Y553" i="1"/>
  <c r="W553" i="1" s="1"/>
  <c r="Y600" i="1"/>
  <c r="W600" i="1" s="1"/>
  <c r="Y610" i="1"/>
  <c r="W610" i="1" s="1"/>
  <c r="Y657" i="1"/>
  <c r="W657" i="1" s="1"/>
  <c r="Y658" i="1"/>
  <c r="W658" i="1" s="1"/>
  <c r="Y619" i="1"/>
  <c r="W619" i="1" s="1"/>
  <c r="Y620" i="1"/>
  <c r="W620" i="1" s="1"/>
  <c r="Y651" i="1"/>
  <c r="W651" i="1" s="1"/>
  <c r="Y633" i="1"/>
  <c r="W633" i="1" s="1"/>
  <c r="Y647" i="1"/>
  <c r="W647" i="1" s="1"/>
  <c r="Y560" i="1"/>
  <c r="W560" i="1" s="1"/>
  <c r="Y638" i="1"/>
  <c r="W638" i="1" s="1"/>
  <c r="Y566" i="1"/>
  <c r="W566" i="1" s="1"/>
  <c r="Y631" i="1"/>
  <c r="W631" i="1" s="1"/>
  <c r="Y571" i="1"/>
  <c r="W571" i="1" s="1"/>
  <c r="Y557" i="1"/>
  <c r="W557" i="1" s="1"/>
  <c r="Y662" i="1"/>
  <c r="W662" i="1" s="1"/>
  <c r="Y551" i="1"/>
  <c r="W551" i="1" s="1"/>
  <c r="Y567" i="1"/>
  <c r="W567" i="1" s="1"/>
  <c r="Y598" i="1"/>
  <c r="W598" i="1" s="1"/>
  <c r="Y653" i="1"/>
  <c r="W653" i="1" s="1"/>
  <c r="Y617" i="1"/>
  <c r="W617" i="1" s="1"/>
  <c r="Y558" i="1"/>
  <c r="W558" i="1" s="1"/>
  <c r="Y609" i="1"/>
  <c r="W609" i="1" s="1"/>
  <c r="Y591" i="1"/>
  <c r="W591" i="1" s="1"/>
  <c r="Y626" i="1"/>
  <c r="W626" i="1" s="1"/>
  <c r="Y548" i="1"/>
  <c r="W548" i="1" s="1"/>
  <c r="Y652" i="1"/>
  <c r="W652" i="1" s="1"/>
  <c r="Y646" i="1"/>
  <c r="W646" i="1" s="1"/>
  <c r="Y569" i="1"/>
  <c r="W569" i="1" s="1"/>
  <c r="Y597" i="1"/>
  <c r="W597" i="1" s="1"/>
  <c r="Y602" i="1"/>
  <c r="W602" i="1" s="1"/>
  <c r="Y611" i="1"/>
  <c r="W611" i="1" s="1"/>
  <c r="Y592" i="1"/>
  <c r="W592" i="1" s="1"/>
  <c r="Y578" i="1"/>
  <c r="W578" i="1" s="1"/>
  <c r="Y637" i="1"/>
  <c r="W637" i="1" s="1"/>
  <c r="Y555" i="1"/>
  <c r="W555" i="1" s="1"/>
  <c r="Y612" i="1"/>
  <c r="W612" i="1" s="1"/>
  <c r="Y636" i="1"/>
  <c r="W636" i="1" s="1"/>
  <c r="Y552" i="1"/>
  <c r="W552" i="1" s="1"/>
  <c r="Y594" i="1"/>
  <c r="W594" i="1" s="1"/>
  <c r="Y577" i="1"/>
  <c r="W577" i="1" s="1"/>
  <c r="Y608" i="1"/>
  <c r="W608" i="1" s="1"/>
  <c r="Y654" i="1"/>
  <c r="W654" i="1" s="1"/>
  <c r="Y586" i="1"/>
  <c r="W586" i="1" s="1"/>
  <c r="Y634" i="1"/>
  <c r="W634" i="1" s="1"/>
  <c r="Y576" i="1"/>
  <c r="W576" i="1" s="1"/>
  <c r="Y546" i="1"/>
  <c r="W546" i="1" s="1"/>
  <c r="Y556" i="1"/>
  <c r="W556" i="1" s="1"/>
  <c r="Y580" i="1"/>
  <c r="W580" i="1" s="1"/>
  <c r="Y587" i="1"/>
  <c r="W587" i="1" s="1"/>
  <c r="Y628" i="1"/>
  <c r="W628" i="1" s="1"/>
  <c r="Y625" i="1"/>
  <c r="W625" i="1" s="1"/>
  <c r="Y614" i="1"/>
  <c r="W614" i="1" s="1"/>
  <c r="Y589" i="1"/>
  <c r="W589" i="1" s="1"/>
  <c r="Y648" i="1"/>
  <c r="W648" i="1" s="1"/>
  <c r="Y655" i="1"/>
  <c r="W655" i="1" s="1"/>
  <c r="Y554" i="1"/>
  <c r="W554" i="1" s="1"/>
  <c r="Y645" i="1"/>
  <c r="W645" i="1" s="1"/>
  <c r="Y656" i="1"/>
  <c r="W656" i="1" s="1"/>
  <c r="Y588" i="1"/>
  <c r="W588" i="1" s="1"/>
  <c r="Y550" i="1"/>
  <c r="W550" i="1" s="1"/>
  <c r="Y659" i="1"/>
  <c r="W659" i="1" s="1"/>
  <c r="Y559" i="1"/>
  <c r="W559" i="1" s="1"/>
  <c r="Y606" i="1"/>
  <c r="W606" i="1" s="1"/>
  <c r="Y605" i="1"/>
  <c r="W605" i="1" s="1"/>
  <c r="Y565" i="1"/>
  <c r="W565" i="1" s="1"/>
  <c r="Y661" i="1"/>
  <c r="W661" i="1" s="1"/>
  <c r="Y607" i="1"/>
  <c r="W607" i="1" s="1"/>
  <c r="Y650" i="1"/>
  <c r="W650" i="1" s="1"/>
  <c r="Y568" i="1"/>
  <c r="W568" i="1" s="1"/>
  <c r="Y575" i="1"/>
  <c r="W575" i="1" s="1"/>
  <c r="Y579" i="1"/>
  <c r="W579" i="1" s="1"/>
  <c r="Y467" i="1"/>
  <c r="W467" i="1" s="1"/>
  <c r="Y11" i="14" s="1"/>
  <c r="Y5" i="14" s="1"/>
  <c r="Y516" i="1"/>
  <c r="W516" i="1" s="1"/>
  <c r="AA20" i="14" s="1"/>
  <c r="Y449" i="1"/>
  <c r="W449" i="1" s="1"/>
  <c r="X13" i="14" s="1"/>
  <c r="Y477" i="1"/>
  <c r="W477" i="1" s="1"/>
  <c r="Y21" i="14" s="1"/>
  <c r="Y506" i="1"/>
  <c r="W506" i="1" s="1"/>
  <c r="AA10" i="14" s="1"/>
  <c r="Y486" i="1"/>
  <c r="W486" i="1" s="1"/>
  <c r="Z10" i="14" s="1"/>
  <c r="Y457" i="1"/>
  <c r="W457" i="1" s="1"/>
  <c r="X21" i="14" s="1"/>
  <c r="Y473" i="1"/>
  <c r="W473" i="1" s="1"/>
  <c r="Y17" i="14" s="1"/>
  <c r="Y466" i="1"/>
  <c r="W466" i="1" s="1"/>
  <c r="Y10" i="14" s="1"/>
  <c r="Y482" i="1"/>
  <c r="W482" i="1" s="1"/>
  <c r="Y26" i="14" s="1"/>
  <c r="Y534" i="1"/>
  <c r="W534" i="1" s="1"/>
  <c r="Y468" i="1"/>
  <c r="W468" i="1" s="1"/>
  <c r="Y12" i="14" s="1"/>
  <c r="Z8" i="9" s="1"/>
  <c r="Y462" i="1"/>
  <c r="W462" i="1" s="1"/>
  <c r="X26" i="14" s="1"/>
  <c r="Y525" i="1"/>
  <c r="W525" i="1" s="1"/>
  <c r="Y479" i="1"/>
  <c r="W479" i="1" s="1"/>
  <c r="Y23" i="14" s="1"/>
  <c r="Y539" i="1"/>
  <c r="W539" i="1" s="1"/>
  <c r="Y508" i="1"/>
  <c r="W508" i="1" s="1"/>
  <c r="AA12" i="14" s="1"/>
  <c r="AB8" i="9" s="1"/>
  <c r="Y488" i="1"/>
  <c r="W488" i="1" s="1"/>
  <c r="Z12" i="14" s="1"/>
  <c r="AA8" i="9" s="1"/>
  <c r="Y492" i="1"/>
  <c r="W492" i="1" s="1"/>
  <c r="Z16" i="14" s="1"/>
  <c r="Y494" i="1"/>
  <c r="W494" i="1" s="1"/>
  <c r="Z18" i="14" s="1"/>
  <c r="Y505" i="1"/>
  <c r="W505" i="1" s="1"/>
  <c r="AA9" i="14" s="1"/>
  <c r="Y495" i="1"/>
  <c r="W495" i="1" s="1"/>
  <c r="Z19" i="14" s="1"/>
  <c r="Y474" i="1"/>
  <c r="W474" i="1" s="1"/>
  <c r="Y18" i="14" s="1"/>
  <c r="Y445" i="1"/>
  <c r="W445" i="1" s="1"/>
  <c r="X9" i="14" s="1"/>
  <c r="Y452" i="1"/>
  <c r="W452" i="1" s="1"/>
  <c r="X16" i="14" s="1"/>
  <c r="Y537" i="1"/>
  <c r="W537" i="1" s="1"/>
  <c r="Y487" i="1"/>
  <c r="W487" i="1" s="1"/>
  <c r="Z11" i="14" s="1"/>
  <c r="Z5" i="14" s="1"/>
  <c r="Y458" i="1"/>
  <c r="W458" i="1" s="1"/>
  <c r="X22" i="14" s="1"/>
  <c r="Y450" i="1"/>
  <c r="W450" i="1" s="1"/>
  <c r="X14" i="14" s="1"/>
  <c r="Y517" i="1"/>
  <c r="W517" i="1" s="1"/>
  <c r="AA21" i="14" s="1"/>
  <c r="Y497" i="1"/>
  <c r="W497" i="1" s="1"/>
  <c r="Z21" i="14" s="1"/>
  <c r="Y454" i="1"/>
  <c r="W454" i="1" s="1"/>
  <c r="X18" i="14" s="1"/>
  <c r="Y528" i="1"/>
  <c r="W528" i="1" s="1"/>
  <c r="Y536" i="1"/>
  <c r="W536" i="1" s="1"/>
  <c r="Y515" i="1"/>
  <c r="W515" i="1" s="1"/>
  <c r="AA19" i="14" s="1"/>
  <c r="Y518" i="1"/>
  <c r="W518" i="1" s="1"/>
  <c r="AA22" i="14" s="1"/>
  <c r="Y540" i="1"/>
  <c r="W540" i="1" s="1"/>
  <c r="Y447" i="1"/>
  <c r="W447" i="1" s="1"/>
  <c r="X11" i="14" s="1"/>
  <c r="X5" i="14" s="1"/>
  <c r="Y526" i="1"/>
  <c r="W526" i="1" s="1"/>
  <c r="Y465" i="1"/>
  <c r="W465" i="1" s="1"/>
  <c r="Y9" i="14" s="1"/>
  <c r="Y453" i="1"/>
  <c r="W453" i="1" s="1"/>
  <c r="X17" i="14" s="1"/>
  <c r="Y472" i="1"/>
  <c r="W472" i="1" s="1"/>
  <c r="Y16" i="14" s="1"/>
  <c r="Y541" i="1"/>
  <c r="W541" i="1" s="1"/>
  <c r="Y533" i="1"/>
  <c r="W533" i="1" s="1"/>
  <c r="Y490" i="1"/>
  <c r="W490" i="1" s="1"/>
  <c r="Z14" i="14" s="1"/>
  <c r="Y512" i="1"/>
  <c r="W512" i="1" s="1"/>
  <c r="AA16" i="14" s="1"/>
  <c r="Y478" i="1"/>
  <c r="W478" i="1" s="1"/>
  <c r="Y22" i="14" s="1"/>
  <c r="Y460" i="1"/>
  <c r="W460" i="1" s="1"/>
  <c r="X24" i="14" s="1"/>
  <c r="Y519" i="1"/>
  <c r="W519" i="1" s="1"/>
  <c r="AA23" i="14" s="1"/>
  <c r="Y499" i="1"/>
  <c r="W499" i="1" s="1"/>
  <c r="Z23" i="14" s="1"/>
  <c r="Y513" i="1"/>
  <c r="W513" i="1" s="1"/>
  <c r="AA17" i="14" s="1"/>
  <c r="Y529" i="1"/>
  <c r="W529" i="1" s="1"/>
  <c r="Y496" i="1"/>
  <c r="W496" i="1" s="1"/>
  <c r="Z20" i="14" s="1"/>
  <c r="Y507" i="1"/>
  <c r="W507" i="1" s="1"/>
  <c r="AA11" i="14" s="1"/>
  <c r="AA5" i="14" s="1"/>
  <c r="Y471" i="1"/>
  <c r="W471" i="1" s="1"/>
  <c r="Y15" i="14" s="1"/>
  <c r="Y485" i="1"/>
  <c r="W485" i="1" s="1"/>
  <c r="Z9" i="14" s="1"/>
  <c r="Y498" i="1"/>
  <c r="W498" i="1" s="1"/>
  <c r="Z22" i="14" s="1"/>
  <c r="Y500" i="1"/>
  <c r="W500" i="1" s="1"/>
  <c r="Z24" i="14" s="1"/>
  <c r="Y493" i="1"/>
  <c r="W493" i="1" s="1"/>
  <c r="Z17" i="14" s="1"/>
  <c r="Y470" i="1"/>
  <c r="W470" i="1" s="1"/>
  <c r="Y14" i="14" s="1"/>
  <c r="Y538" i="1"/>
  <c r="W538" i="1" s="1"/>
  <c r="Y527" i="1"/>
  <c r="W527" i="1" s="1"/>
  <c r="Y451" i="1"/>
  <c r="W451" i="1" s="1"/>
  <c r="X15" i="14" s="1"/>
  <c r="Y510" i="1"/>
  <c r="W510" i="1" s="1"/>
  <c r="AA14" i="14" s="1"/>
  <c r="Y522" i="1"/>
  <c r="W522" i="1" s="1"/>
  <c r="AA26" i="14" s="1"/>
  <c r="Y491" i="1"/>
  <c r="W491" i="1" s="1"/>
  <c r="Z15" i="14" s="1"/>
  <c r="Y448" i="1"/>
  <c r="W448" i="1" s="1"/>
  <c r="X12" i="14" s="1"/>
  <c r="Y501" i="1"/>
  <c r="W501" i="1" s="1"/>
  <c r="Z25" i="14" s="1"/>
  <c r="Y509" i="1"/>
  <c r="W509" i="1" s="1"/>
  <c r="AA13" i="14" s="1"/>
  <c r="Y489" i="1"/>
  <c r="W489" i="1" s="1"/>
  <c r="Z13" i="14" s="1"/>
  <c r="Y535" i="1"/>
  <c r="W535" i="1" s="1"/>
  <c r="Y469" i="1"/>
  <c r="W469" i="1" s="1"/>
  <c r="Y13" i="14" s="1"/>
  <c r="Y461" i="1"/>
  <c r="W461" i="1" s="1"/>
  <c r="X25" i="14" s="1"/>
  <c r="Y455" i="1"/>
  <c r="W455" i="1" s="1"/>
  <c r="X19" i="14" s="1"/>
  <c r="Y502" i="1"/>
  <c r="W502" i="1" s="1"/>
  <c r="Z26" i="14" s="1"/>
  <c r="Y480" i="1"/>
  <c r="W480" i="1" s="1"/>
  <c r="Y24" i="14" s="1"/>
  <c r="Y532" i="1"/>
  <c r="W532" i="1" s="1"/>
  <c r="Y481" i="1"/>
  <c r="W481" i="1" s="1"/>
  <c r="Y25" i="14" s="1"/>
  <c r="Y514" i="1"/>
  <c r="W514" i="1" s="1"/>
  <c r="AA18" i="14" s="1"/>
  <c r="Y476" i="1"/>
  <c r="W476" i="1" s="1"/>
  <c r="Y20" i="14" s="1"/>
  <c r="Y520" i="1"/>
  <c r="W520" i="1" s="1"/>
  <c r="AA24" i="14" s="1"/>
  <c r="Y542" i="1"/>
  <c r="W542" i="1" s="1"/>
  <c r="Y530" i="1"/>
  <c r="W530" i="1" s="1"/>
  <c r="Y511" i="1"/>
  <c r="W511" i="1" s="1"/>
  <c r="AA15" i="14" s="1"/>
  <c r="Y475" i="1"/>
  <c r="W475" i="1" s="1"/>
  <c r="Y19" i="14" s="1"/>
  <c r="Y521" i="1"/>
  <c r="W521" i="1" s="1"/>
  <c r="AA25" i="14" s="1"/>
  <c r="Y459" i="1"/>
  <c r="W459" i="1" s="1"/>
  <c r="X23" i="14" s="1"/>
  <c r="Y456" i="1"/>
  <c r="W456" i="1" s="1"/>
  <c r="X20" i="14" s="1"/>
  <c r="Y531" i="1"/>
  <c r="W531" i="1" s="1"/>
  <c r="Y446" i="1"/>
  <c r="W446" i="1" s="1"/>
  <c r="X10" i="14" s="1"/>
  <c r="Y427" i="1"/>
  <c r="W427" i="1" s="1"/>
  <c r="W11" i="14" s="1"/>
  <c r="W5" i="14" s="1"/>
  <c r="Y425" i="1"/>
  <c r="W425" i="1" s="1"/>
  <c r="W9" i="14" s="1"/>
  <c r="Y413" i="1"/>
  <c r="W413" i="1" s="1"/>
  <c r="V17" i="14" s="1"/>
  <c r="Y412" i="1"/>
  <c r="W412" i="1" s="1"/>
  <c r="V16" i="14" s="1"/>
  <c r="Y260" i="1"/>
  <c r="W260" i="1" s="1"/>
  <c r="N24" i="14" s="1"/>
  <c r="Y268" i="1"/>
  <c r="W268" i="1" s="1"/>
  <c r="O12" i="14" s="1"/>
  <c r="Y396" i="1"/>
  <c r="W396" i="1" s="1"/>
  <c r="U20" i="14" s="1"/>
  <c r="Y406" i="1"/>
  <c r="W406" i="1" s="1"/>
  <c r="V10" i="14" s="1"/>
  <c r="Y247" i="1"/>
  <c r="W247" i="1" s="1"/>
  <c r="N11" i="14" s="1"/>
  <c r="N5" i="14" s="1"/>
  <c r="Y336" i="1"/>
  <c r="W336" i="1" s="1"/>
  <c r="R20" i="14" s="1"/>
  <c r="Y262" i="1"/>
  <c r="W262" i="1" s="1"/>
  <c r="N26" i="14" s="1"/>
  <c r="Y434" i="1"/>
  <c r="W434" i="1" s="1"/>
  <c r="W18" i="14" s="1"/>
  <c r="Y281" i="1"/>
  <c r="W281" i="1" s="1"/>
  <c r="O25" i="14" s="1"/>
  <c r="Y248" i="1"/>
  <c r="W248" i="1" s="1"/>
  <c r="N12" i="14" s="1"/>
  <c r="Y318" i="1"/>
  <c r="W318" i="1" s="1"/>
  <c r="Q22" i="14" s="1"/>
  <c r="Y256" i="1"/>
  <c r="W256" i="1" s="1"/>
  <c r="N20" i="14" s="1"/>
  <c r="Y280" i="1"/>
  <c r="W280" i="1" s="1"/>
  <c r="O24" i="14" s="1"/>
  <c r="Y385" i="1"/>
  <c r="W385" i="1" s="1"/>
  <c r="U9" i="14" s="1"/>
  <c r="Y360" i="1"/>
  <c r="W360" i="1" s="1"/>
  <c r="S24" i="14" s="1"/>
  <c r="Y259" i="1"/>
  <c r="W259" i="1" s="1"/>
  <c r="N23" i="14" s="1"/>
  <c r="Y338" i="1"/>
  <c r="W338" i="1" s="1"/>
  <c r="R22" i="14" s="1"/>
  <c r="Y433" i="1"/>
  <c r="W433" i="1" s="1"/>
  <c r="W17" i="14" s="1"/>
  <c r="Y417" i="1"/>
  <c r="W417" i="1" s="1"/>
  <c r="V21" i="14" s="1"/>
  <c r="Y400" i="1"/>
  <c r="W400" i="1" s="1"/>
  <c r="U24" i="14" s="1"/>
  <c r="Y401" i="1"/>
  <c r="W401" i="1" s="1"/>
  <c r="U25" i="14" s="1"/>
  <c r="Y394" i="1"/>
  <c r="W394" i="1" s="1"/>
  <c r="U18" i="14" s="1"/>
  <c r="Y441" i="1"/>
  <c r="W441" i="1" s="1"/>
  <c r="W25" i="14" s="1"/>
  <c r="Y387" i="1"/>
  <c r="W387" i="1" s="1"/>
  <c r="U11" i="14" s="1"/>
  <c r="U5" i="14" s="1"/>
  <c r="Y399" i="1"/>
  <c r="W399" i="1" s="1"/>
  <c r="U23" i="14" s="1"/>
  <c r="Y435" i="1"/>
  <c r="W435" i="1" s="1"/>
  <c r="W19" i="14" s="1"/>
  <c r="Y440" i="1"/>
  <c r="W440" i="1" s="1"/>
  <c r="W24" i="14" s="1"/>
  <c r="Y388" i="1"/>
  <c r="W388" i="1" s="1"/>
  <c r="U12" i="14" s="1"/>
  <c r="Y410" i="1"/>
  <c r="W410" i="1" s="1"/>
  <c r="V14" i="14" s="1"/>
  <c r="Y398" i="1"/>
  <c r="W398" i="1" s="1"/>
  <c r="U22" i="14" s="1"/>
  <c r="Y430" i="1"/>
  <c r="W430" i="1" s="1"/>
  <c r="W14" i="14" s="1"/>
  <c r="Y415" i="1"/>
  <c r="W415" i="1" s="1"/>
  <c r="V19" i="14" s="1"/>
  <c r="Y436" i="1"/>
  <c r="W436" i="1" s="1"/>
  <c r="W20" i="14" s="1"/>
  <c r="Y392" i="1"/>
  <c r="W392" i="1" s="1"/>
  <c r="U16" i="14" s="1"/>
  <c r="Y431" i="1"/>
  <c r="W431" i="1" s="1"/>
  <c r="W15" i="14" s="1"/>
  <c r="Y442" i="1"/>
  <c r="W442" i="1" s="1"/>
  <c r="W26" i="14" s="1"/>
  <c r="Y437" i="1"/>
  <c r="W437" i="1" s="1"/>
  <c r="W21" i="14" s="1"/>
  <c r="Y274" i="1"/>
  <c r="W274" i="1" s="1"/>
  <c r="O18" i="14" s="1"/>
  <c r="Y267" i="1"/>
  <c r="W267" i="1" s="1"/>
  <c r="O11" i="14" s="1"/>
  <c r="O5" i="14" s="1"/>
  <c r="Y419" i="1"/>
  <c r="W419" i="1" s="1"/>
  <c r="V23" i="14" s="1"/>
  <c r="Y414" i="1"/>
  <c r="W414" i="1" s="1"/>
  <c r="V18" i="14" s="1"/>
  <c r="Y416" i="1"/>
  <c r="W416" i="1" s="1"/>
  <c r="V20" i="14" s="1"/>
  <c r="Y389" i="1"/>
  <c r="W389" i="1" s="1"/>
  <c r="U13" i="14" s="1"/>
  <c r="Y428" i="1"/>
  <c r="W428" i="1" s="1"/>
  <c r="W12" i="14" s="1"/>
  <c r="Y261" i="1"/>
  <c r="W261" i="1" s="1"/>
  <c r="N25" i="14" s="1"/>
  <c r="Y408" i="1"/>
  <c r="W408" i="1" s="1"/>
  <c r="V12" i="14" s="1"/>
  <c r="Y418" i="1"/>
  <c r="W418" i="1" s="1"/>
  <c r="V22" i="14" s="1"/>
  <c r="Y409" i="1"/>
  <c r="W409" i="1" s="1"/>
  <c r="V13" i="14" s="1"/>
  <c r="Y397" i="1"/>
  <c r="W397" i="1" s="1"/>
  <c r="U21" i="14" s="1"/>
  <c r="Y402" i="1"/>
  <c r="W402" i="1" s="1"/>
  <c r="U26" i="14" s="1"/>
  <c r="Y420" i="1"/>
  <c r="W420" i="1" s="1"/>
  <c r="V24" i="14" s="1"/>
  <c r="Y335" i="1"/>
  <c r="W335" i="1" s="1"/>
  <c r="R19" i="14" s="1"/>
  <c r="Y438" i="1"/>
  <c r="W438" i="1" s="1"/>
  <c r="W22" i="14" s="1"/>
  <c r="Y393" i="1"/>
  <c r="W393" i="1" s="1"/>
  <c r="U17" i="14" s="1"/>
  <c r="Y395" i="1"/>
  <c r="W395" i="1" s="1"/>
  <c r="U19" i="14" s="1"/>
  <c r="Y439" i="1"/>
  <c r="W439" i="1" s="1"/>
  <c r="W23" i="14" s="1"/>
  <c r="Y405" i="1"/>
  <c r="W405" i="1" s="1"/>
  <c r="V9" i="14" s="1"/>
  <c r="Y407" i="1"/>
  <c r="W407" i="1" s="1"/>
  <c r="V11" i="14" s="1"/>
  <c r="V5" i="14" s="1"/>
  <c r="Y411" i="1"/>
  <c r="W411" i="1" s="1"/>
  <c r="V15" i="14" s="1"/>
  <c r="Y421" i="1"/>
  <c r="W421" i="1" s="1"/>
  <c r="V25" i="14" s="1"/>
  <c r="Y391" i="1"/>
  <c r="W391" i="1" s="1"/>
  <c r="U15" i="14" s="1"/>
  <c r="Y432" i="1"/>
  <c r="W432" i="1" s="1"/>
  <c r="W16" i="14" s="1"/>
  <c r="Y390" i="1"/>
  <c r="W390" i="1" s="1"/>
  <c r="U14" i="14" s="1"/>
  <c r="Y429" i="1"/>
  <c r="W429" i="1" s="1"/>
  <c r="W13" i="14" s="1"/>
  <c r="Y254" i="1"/>
  <c r="W254" i="1" s="1"/>
  <c r="N18" i="14" s="1"/>
  <c r="Y316" i="1"/>
  <c r="W316" i="1" s="1"/>
  <c r="Q20" i="14" s="1"/>
  <c r="Y426" i="1"/>
  <c r="W426" i="1" s="1"/>
  <c r="W10" i="14" s="1"/>
  <c r="Y386" i="1"/>
  <c r="W386" i="1" s="1"/>
  <c r="U10" i="14" s="1"/>
  <c r="Y422" i="1"/>
  <c r="W422" i="1" s="1"/>
  <c r="V26" i="14" s="1"/>
  <c r="Y380" i="1"/>
  <c r="W380" i="1" s="1"/>
  <c r="T24" i="14" s="1"/>
  <c r="Y237" i="1"/>
  <c r="W237" i="1" s="1"/>
  <c r="M21" i="14" s="1"/>
  <c r="Y212" i="1"/>
  <c r="W212" i="1" s="1"/>
  <c r="L16" i="14" s="1"/>
  <c r="Y306" i="1"/>
  <c r="W306" i="1" s="1"/>
  <c r="Q10" i="14" s="1"/>
  <c r="Y355" i="1"/>
  <c r="W355" i="1" s="1"/>
  <c r="S19" i="14" s="1"/>
  <c r="Y348" i="1"/>
  <c r="W348" i="1" s="1"/>
  <c r="S12" i="14" s="1"/>
  <c r="Y207" i="1"/>
  <c r="W207" i="1" s="1"/>
  <c r="L11" i="14" s="1"/>
  <c r="L5" i="14" s="1"/>
  <c r="Y346" i="1"/>
  <c r="W346" i="1" s="1"/>
  <c r="S10" i="14" s="1"/>
  <c r="Y381" i="1"/>
  <c r="W381" i="1" s="1"/>
  <c r="T25" i="14" s="1"/>
  <c r="Y377" i="1"/>
  <c r="Y225" i="1"/>
  <c r="W225" i="1" s="1"/>
  <c r="M9" i="14" s="1"/>
  <c r="Y301" i="1"/>
  <c r="W301" i="1" s="1"/>
  <c r="P25" i="14" s="1"/>
  <c r="Y342" i="1"/>
  <c r="W342" i="1" s="1"/>
  <c r="R26" i="14" s="1"/>
  <c r="Y270" i="1"/>
  <c r="W270" i="1" s="1"/>
  <c r="O14" i="14" s="1"/>
  <c r="Y245" i="1"/>
  <c r="W245" i="1" s="1"/>
  <c r="N9" i="14" s="1"/>
  <c r="Y249" i="1"/>
  <c r="W249" i="1" s="1"/>
  <c r="N13" i="14" s="1"/>
  <c r="Y295" i="1"/>
  <c r="W295" i="1" s="1"/>
  <c r="P19" i="14" s="1"/>
  <c r="Y321" i="1"/>
  <c r="W321" i="1" s="1"/>
  <c r="Q25" i="14" s="1"/>
  <c r="Y341" i="1"/>
  <c r="W341" i="1" s="1"/>
  <c r="R25" i="14" s="1"/>
  <c r="Y205" i="1"/>
  <c r="W205" i="1" s="1"/>
  <c r="L9" i="14" s="1"/>
  <c r="Y208" i="1"/>
  <c r="W208" i="1" s="1"/>
  <c r="L12" i="14" s="1"/>
  <c r="Y277" i="1"/>
  <c r="W277" i="1" s="1"/>
  <c r="O21" i="14" s="1"/>
  <c r="Y287" i="1"/>
  <c r="W287" i="1" s="1"/>
  <c r="P11" i="14" s="1"/>
  <c r="P5" i="14" s="1"/>
  <c r="Y352" i="1"/>
  <c r="W352" i="1" s="1"/>
  <c r="S16" i="14" s="1"/>
  <c r="Y309" i="1"/>
  <c r="W309" i="1" s="1"/>
  <c r="Q13" i="14" s="1"/>
  <c r="Y353" i="1"/>
  <c r="W353" i="1" s="1"/>
  <c r="S17" i="14" s="1"/>
  <c r="Y376" i="1"/>
  <c r="W376" i="1" s="1"/>
  <c r="T20" i="14" s="1"/>
  <c r="Y209" i="1"/>
  <c r="W209" i="1" s="1"/>
  <c r="L13" i="14" s="1"/>
  <c r="Y315" i="1"/>
  <c r="W315" i="1" s="1"/>
  <c r="Q19" i="14" s="1"/>
  <c r="Y236" i="1"/>
  <c r="W236" i="1" s="1"/>
  <c r="M20" i="14" s="1"/>
  <c r="Y241" i="1"/>
  <c r="W241" i="1" s="1"/>
  <c r="M25" i="14" s="1"/>
  <c r="Y333" i="1"/>
  <c r="W333" i="1" s="1"/>
  <c r="R17" i="14" s="1"/>
  <c r="Y311" i="1"/>
  <c r="W311" i="1" s="1"/>
  <c r="Q15" i="14" s="1"/>
  <c r="Y229" i="1"/>
  <c r="W229" i="1" s="1"/>
  <c r="M13" i="14" s="1"/>
  <c r="Y291" i="1"/>
  <c r="W291" i="1" s="1"/>
  <c r="P15" i="14" s="1"/>
  <c r="Y233" i="1"/>
  <c r="W233" i="1" s="1"/>
  <c r="M17" i="14" s="1"/>
  <c r="Y211" i="1"/>
  <c r="W211" i="1" s="1"/>
  <c r="L15" i="14" s="1"/>
  <c r="Y307" i="1"/>
  <c r="W307" i="1" s="1"/>
  <c r="Q11" i="14" s="1"/>
  <c r="Q5" i="14" s="1"/>
  <c r="Y358" i="1"/>
  <c r="W358" i="1" s="1"/>
  <c r="S22" i="14" s="1"/>
  <c r="Y253" i="1"/>
  <c r="W253" i="1" s="1"/>
  <c r="N17" i="14" s="1"/>
  <c r="Y351" i="1"/>
  <c r="W351" i="1" s="1"/>
  <c r="S15" i="14" s="1"/>
  <c r="Y215" i="1"/>
  <c r="W215" i="1" s="1"/>
  <c r="L19" i="14" s="1"/>
  <c r="Y217" i="1"/>
  <c r="W217" i="1" s="1"/>
  <c r="L21" i="14" s="1"/>
  <c r="Y278" i="1"/>
  <c r="W278" i="1" s="1"/>
  <c r="O22" i="14" s="1"/>
  <c r="Y235" i="1"/>
  <c r="W235" i="1" s="1"/>
  <c r="M19" i="14" s="1"/>
  <c r="Y322" i="1"/>
  <c r="W322" i="1" s="1"/>
  <c r="Q26" i="14" s="1"/>
  <c r="Y251" i="1"/>
  <c r="W251" i="1" s="1"/>
  <c r="N15" i="14" s="1"/>
  <c r="Y255" i="1"/>
  <c r="W255" i="1" s="1"/>
  <c r="N19" i="14" s="1"/>
  <c r="Y216" i="1"/>
  <c r="W216" i="1" s="1"/>
  <c r="L20" i="14" s="1"/>
  <c r="Y374" i="1"/>
  <c r="W374" i="1" s="1"/>
  <c r="T18" i="14" s="1"/>
  <c r="Y354" i="1"/>
  <c r="W354" i="1" s="1"/>
  <c r="S18" i="14" s="1"/>
  <c r="Y319" i="1"/>
  <c r="W319" i="1" s="1"/>
  <c r="Q23" i="14" s="1"/>
  <c r="Y286" i="1"/>
  <c r="W286" i="1" s="1"/>
  <c r="P10" i="14" s="1"/>
  <c r="Y271" i="1"/>
  <c r="W271" i="1" s="1"/>
  <c r="O15" i="14" s="1"/>
  <c r="Y288" i="1"/>
  <c r="W288" i="1" s="1"/>
  <c r="P12" i="14" s="1"/>
  <c r="Y242" i="1"/>
  <c r="W242" i="1" s="1"/>
  <c r="M26" i="14" s="1"/>
  <c r="Y357" i="1"/>
  <c r="W357" i="1" s="1"/>
  <c r="S21" i="14" s="1"/>
  <c r="Y339" i="1"/>
  <c r="W339" i="1" s="1"/>
  <c r="R23" i="14" s="1"/>
  <c r="Y329" i="1"/>
  <c r="W329" i="1" s="1"/>
  <c r="R13" i="14" s="1"/>
  <c r="Y328" i="1"/>
  <c r="W328" i="1" s="1"/>
  <c r="R12" i="14" s="1"/>
  <c r="Y282" i="1"/>
  <c r="W282" i="1" s="1"/>
  <c r="O26" i="14" s="1"/>
  <c r="Y266" i="1"/>
  <c r="W266" i="1" s="1"/>
  <c r="O10" i="14" s="1"/>
  <c r="Y234" i="1"/>
  <c r="W234" i="1" s="1"/>
  <c r="M18" i="14" s="1"/>
  <c r="Y349" i="1"/>
  <c r="W349" i="1" s="1"/>
  <c r="S13" i="14" s="1"/>
  <c r="Y276" i="1"/>
  <c r="W276" i="1" s="1"/>
  <c r="O20" i="14" s="1"/>
  <c r="Y231" i="1"/>
  <c r="W231" i="1" s="1"/>
  <c r="M15" i="14" s="1"/>
  <c r="Y326" i="1"/>
  <c r="W326" i="1" s="1"/>
  <c r="R10" i="14" s="1"/>
  <c r="Y317" i="1"/>
  <c r="W317" i="1" s="1"/>
  <c r="Q21" i="14" s="1"/>
  <c r="Y371" i="1"/>
  <c r="W371" i="1" s="1"/>
  <c r="T15" i="14" s="1"/>
  <c r="Y378" i="1"/>
  <c r="W378" i="1" s="1"/>
  <c r="T22" i="14" s="1"/>
  <c r="Y222" i="1"/>
  <c r="W222" i="1" s="1"/>
  <c r="L26" i="14" s="1"/>
  <c r="Y258" i="1"/>
  <c r="W258" i="1" s="1"/>
  <c r="N22" i="14" s="1"/>
  <c r="Y313" i="1"/>
  <c r="W313" i="1" s="1"/>
  <c r="Q17" i="14" s="1"/>
  <c r="Y356" i="1"/>
  <c r="W356" i="1" s="1"/>
  <c r="S20" i="14" s="1"/>
  <c r="Y269" i="1"/>
  <c r="W269" i="1" s="1"/>
  <c r="O13" i="14" s="1"/>
  <c r="Y308" i="1"/>
  <c r="W308" i="1" s="1"/>
  <c r="Q12" i="14" s="1"/>
  <c r="Y375" i="1"/>
  <c r="W375" i="1" s="1"/>
  <c r="T19" i="14" s="1"/>
  <c r="Y310" i="1"/>
  <c r="W310" i="1" s="1"/>
  <c r="Q14" i="14" s="1"/>
  <c r="Y275" i="1"/>
  <c r="W275" i="1" s="1"/>
  <c r="O19" i="14" s="1"/>
  <c r="Y290" i="1"/>
  <c r="W290" i="1" s="1"/>
  <c r="P14" i="14" s="1"/>
  <c r="Y273" i="1"/>
  <c r="W273" i="1" s="1"/>
  <c r="O17" i="14" s="1"/>
  <c r="Y228" i="1"/>
  <c r="W228" i="1" s="1"/>
  <c r="M12" i="14" s="1"/>
  <c r="Y221" i="1"/>
  <c r="W221" i="1" s="1"/>
  <c r="L25" i="14" s="1"/>
  <c r="Y368" i="1"/>
  <c r="W368" i="1" s="1"/>
  <c r="T12" i="14" s="1"/>
  <c r="Y293" i="1"/>
  <c r="W293" i="1" s="1"/>
  <c r="P17" i="14" s="1"/>
  <c r="Y239" i="1"/>
  <c r="W239" i="1" s="1"/>
  <c r="M23" i="14" s="1"/>
  <c r="Y279" i="1"/>
  <c r="W279" i="1" s="1"/>
  <c r="O23" i="14" s="1"/>
  <c r="Y359" i="1"/>
  <c r="W359" i="1" s="1"/>
  <c r="S23" i="14" s="1"/>
  <c r="Y300" i="1"/>
  <c r="W300" i="1" s="1"/>
  <c r="P24" i="14" s="1"/>
  <c r="Y327" i="1"/>
  <c r="W327" i="1" s="1"/>
  <c r="R11" i="14" s="1"/>
  <c r="R5" i="14" s="1"/>
  <c r="Y238" i="1"/>
  <c r="W238" i="1" s="1"/>
  <c r="M22" i="14" s="1"/>
  <c r="Y214" i="1"/>
  <c r="W214" i="1" s="1"/>
  <c r="L18" i="14" s="1"/>
  <c r="Y226" i="1"/>
  <c r="W226" i="1" s="1"/>
  <c r="M10" i="14" s="1"/>
  <c r="Y272" i="1"/>
  <c r="W272" i="1" s="1"/>
  <c r="O16" i="14" s="1"/>
  <c r="Y210" i="1"/>
  <c r="W210" i="1" s="1"/>
  <c r="L14" i="14" s="1"/>
  <c r="Y312" i="1"/>
  <c r="W312" i="1" s="1"/>
  <c r="Q16" i="14" s="1"/>
  <c r="Y289" i="1"/>
  <c r="W289" i="1" s="1"/>
  <c r="P13" i="14" s="1"/>
  <c r="Y298" i="1"/>
  <c r="W298" i="1" s="1"/>
  <c r="P22" i="14" s="1"/>
  <c r="Y320" i="1"/>
  <c r="W320" i="1" s="1"/>
  <c r="Q24" i="14" s="1"/>
  <c r="Y230" i="1"/>
  <c r="W230" i="1" s="1"/>
  <c r="M14" i="14" s="1"/>
  <c r="Y345" i="1"/>
  <c r="W345" i="1" s="1"/>
  <c r="S9" i="14" s="1"/>
  <c r="Y331" i="1"/>
  <c r="W331" i="1" s="1"/>
  <c r="R15" i="14" s="1"/>
  <c r="Y227" i="1"/>
  <c r="W227" i="1" s="1"/>
  <c r="M11" i="14" s="1"/>
  <c r="M5" i="14" s="1"/>
  <c r="Y285" i="1"/>
  <c r="W285" i="1" s="1"/>
  <c r="P9" i="14" s="1"/>
  <c r="Y292" i="1"/>
  <c r="W292" i="1" s="1"/>
  <c r="P16" i="14" s="1"/>
  <c r="Y340" i="1"/>
  <c r="W340" i="1" s="1"/>
  <c r="R24" i="14" s="1"/>
  <c r="Y240" i="1"/>
  <c r="W240" i="1" s="1"/>
  <c r="M24" i="14" s="1"/>
  <c r="Y219" i="1"/>
  <c r="W219" i="1" s="1"/>
  <c r="L23" i="14" s="1"/>
  <c r="Y265" i="1"/>
  <c r="W265" i="1" s="1"/>
  <c r="O9" i="14" s="1"/>
  <c r="Y299" i="1"/>
  <c r="W299" i="1" s="1"/>
  <c r="P23" i="14" s="1"/>
  <c r="Y382" i="1"/>
  <c r="W382" i="1" s="1"/>
  <c r="T26" i="14" s="1"/>
  <c r="Y218" i="1"/>
  <c r="W218" i="1" s="1"/>
  <c r="L22" i="14" s="1"/>
  <c r="Y337" i="1"/>
  <c r="W337" i="1" s="1"/>
  <c r="R21" i="14" s="1"/>
  <c r="Y206" i="1"/>
  <c r="W206" i="1" s="1"/>
  <c r="L10" i="14" s="1"/>
  <c r="Y350" i="1"/>
  <c r="W350" i="1" s="1"/>
  <c r="S14" i="14" s="1"/>
  <c r="Y367" i="1"/>
  <c r="W367" i="1" s="1"/>
  <c r="T11" i="14" s="1"/>
  <c r="T5" i="14" s="1"/>
  <c r="Y220" i="1"/>
  <c r="W220" i="1" s="1"/>
  <c r="L24" i="14" s="1"/>
  <c r="Y372" i="1"/>
  <c r="W372" i="1" s="1"/>
  <c r="T16" i="14" s="1"/>
  <c r="Y347" i="1"/>
  <c r="W347" i="1" s="1"/>
  <c r="S11" i="14" s="1"/>
  <c r="S5" i="14" s="1"/>
  <c r="Y334" i="1"/>
  <c r="W334" i="1" s="1"/>
  <c r="R18" i="14" s="1"/>
  <c r="Y373" i="1"/>
  <c r="W373" i="1" s="1"/>
  <c r="T17" i="14" s="1"/>
  <c r="Y257" i="1"/>
  <c r="W257" i="1" s="1"/>
  <c r="N21" i="14" s="1"/>
  <c r="Y232" i="1"/>
  <c r="W232" i="1" s="1"/>
  <c r="M16" i="14" s="1"/>
  <c r="Y370" i="1"/>
  <c r="W370" i="1" s="1"/>
  <c r="T14" i="14" s="1"/>
  <c r="Y302" i="1"/>
  <c r="W302" i="1" s="1"/>
  <c r="P26" i="14" s="1"/>
  <c r="Y297" i="1"/>
  <c r="W297" i="1" s="1"/>
  <c r="P21" i="14" s="1"/>
  <c r="Y296" i="1"/>
  <c r="W296" i="1" s="1"/>
  <c r="P20" i="14" s="1"/>
  <c r="Y332" i="1"/>
  <c r="W332" i="1" s="1"/>
  <c r="R16" i="14" s="1"/>
  <c r="Y362" i="1"/>
  <c r="W362" i="1" s="1"/>
  <c r="S26" i="14" s="1"/>
  <c r="Y250" i="1"/>
  <c r="W250" i="1" s="1"/>
  <c r="N14" i="14" s="1"/>
  <c r="Y379" i="1"/>
  <c r="W379" i="1" s="1"/>
  <c r="T23" i="14" s="1"/>
  <c r="Y365" i="1"/>
  <c r="W365" i="1" s="1"/>
  <c r="T9" i="14" s="1"/>
  <c r="Y314" i="1"/>
  <c r="W314" i="1" s="1"/>
  <c r="Q18" i="14" s="1"/>
  <c r="Y361" i="1"/>
  <c r="W361" i="1" s="1"/>
  <c r="S25" i="14" s="1"/>
  <c r="Y294" i="1"/>
  <c r="W294" i="1" s="1"/>
  <c r="P18" i="14" s="1"/>
  <c r="Y213" i="1"/>
  <c r="W213" i="1" s="1"/>
  <c r="L17" i="14" s="1"/>
  <c r="Y330" i="1"/>
  <c r="W330" i="1" s="1"/>
  <c r="R14" i="14" s="1"/>
  <c r="Y325" i="1"/>
  <c r="W325" i="1" s="1"/>
  <c r="R9" i="14" s="1"/>
  <c r="Y369" i="1"/>
  <c r="W369" i="1" s="1"/>
  <c r="T13" i="14" s="1"/>
  <c r="Y366" i="1"/>
  <c r="W366" i="1" s="1"/>
  <c r="T10" i="14" s="1"/>
  <c r="Y252" i="1"/>
  <c r="W252" i="1" s="1"/>
  <c r="N16" i="14" s="1"/>
  <c r="Y246" i="1"/>
  <c r="W246" i="1" s="1"/>
  <c r="N10" i="14" s="1"/>
  <c r="Y305" i="1"/>
  <c r="W305" i="1" s="1"/>
  <c r="Q9" i="14" s="1"/>
  <c r="Y167" i="1"/>
  <c r="W167" i="1" s="1"/>
  <c r="J11" i="14" s="1"/>
  <c r="Y176" i="1"/>
  <c r="W176" i="1" s="1"/>
  <c r="J20" i="14" s="1"/>
  <c r="Y194" i="1"/>
  <c r="W194" i="1" s="1"/>
  <c r="K18" i="14" s="1"/>
  <c r="Y187" i="1"/>
  <c r="W187" i="1" s="1"/>
  <c r="K11" i="14" s="1"/>
  <c r="K5" i="14" s="1"/>
  <c r="Y182" i="1"/>
  <c r="W182" i="1" s="1"/>
  <c r="J26" i="14" s="1"/>
  <c r="Y180" i="1"/>
  <c r="W180" i="1" s="1"/>
  <c r="J24" i="14" s="1"/>
  <c r="Y190" i="1"/>
  <c r="W190" i="1" s="1"/>
  <c r="K14" i="14" s="1"/>
  <c r="Y195" i="1"/>
  <c r="W195" i="1" s="1"/>
  <c r="K19" i="14" s="1"/>
  <c r="Y178" i="1"/>
  <c r="W178" i="1" s="1"/>
  <c r="J22" i="14" s="1"/>
  <c r="Y201" i="1"/>
  <c r="W201" i="1" s="1"/>
  <c r="K25" i="14" s="1"/>
  <c r="Y198" i="1"/>
  <c r="W198" i="1" s="1"/>
  <c r="K22" i="14" s="1"/>
  <c r="Y165" i="1"/>
  <c r="W165" i="1" s="1"/>
  <c r="J9" i="14" s="1"/>
  <c r="Y173" i="1"/>
  <c r="W173" i="1" s="1"/>
  <c r="J17" i="14" s="1"/>
  <c r="Y191" i="1"/>
  <c r="W191" i="1" s="1"/>
  <c r="K15" i="14" s="1"/>
  <c r="Y171" i="1"/>
  <c r="W171" i="1" s="1"/>
  <c r="J15" i="14" s="1"/>
  <c r="Y186" i="1"/>
  <c r="W186" i="1" s="1"/>
  <c r="K10" i="14" s="1"/>
  <c r="Y197" i="1"/>
  <c r="W197" i="1" s="1"/>
  <c r="K21" i="14" s="1"/>
  <c r="Y192" i="1"/>
  <c r="W192" i="1" s="1"/>
  <c r="K16" i="14" s="1"/>
  <c r="Y169" i="1"/>
  <c r="W169" i="1" s="1"/>
  <c r="J13" i="14" s="1"/>
  <c r="Y193" i="1"/>
  <c r="W193" i="1" s="1"/>
  <c r="K17" i="14" s="1"/>
  <c r="Y174" i="1"/>
  <c r="W174" i="1" s="1"/>
  <c r="J18" i="14" s="1"/>
  <c r="Y179" i="1"/>
  <c r="W179" i="1" s="1"/>
  <c r="J23" i="14" s="1"/>
  <c r="Y196" i="1"/>
  <c r="W196" i="1" s="1"/>
  <c r="K20" i="14" s="1"/>
  <c r="Y202" i="1"/>
  <c r="W202" i="1" s="1"/>
  <c r="K26" i="14" s="1"/>
  <c r="Y200" i="1"/>
  <c r="W200" i="1" s="1"/>
  <c r="K24" i="14" s="1"/>
  <c r="Y188" i="1"/>
  <c r="W188" i="1" s="1"/>
  <c r="K12" i="14" s="1"/>
  <c r="Y181" i="1"/>
  <c r="W181" i="1" s="1"/>
  <c r="J25" i="14" s="1"/>
  <c r="Y166" i="1"/>
  <c r="W166" i="1" s="1"/>
  <c r="J10" i="14" s="1"/>
  <c r="Y175" i="1"/>
  <c r="W175" i="1" s="1"/>
  <c r="J19" i="14" s="1"/>
  <c r="Y189" i="1"/>
  <c r="W189" i="1" s="1"/>
  <c r="K13" i="14" s="1"/>
  <c r="Y199" i="1"/>
  <c r="W199" i="1" s="1"/>
  <c r="K23" i="14" s="1"/>
  <c r="Y177" i="1"/>
  <c r="W177" i="1" s="1"/>
  <c r="J21" i="14" s="1"/>
  <c r="Y168" i="1"/>
  <c r="W168" i="1" s="1"/>
  <c r="J12" i="14" s="1"/>
  <c r="Y170" i="1"/>
  <c r="W170" i="1" s="1"/>
  <c r="J14" i="14" s="1"/>
  <c r="Y185" i="1"/>
  <c r="W185" i="1" s="1"/>
  <c r="K9" i="14" s="1"/>
  <c r="Y172" i="1"/>
  <c r="W172" i="1" s="1"/>
  <c r="J16" i="14" s="1"/>
  <c r="Y142" i="1"/>
  <c r="W142" i="1" s="1"/>
  <c r="H26" i="14" s="1"/>
  <c r="Y139" i="1"/>
  <c r="W139" i="1" s="1"/>
  <c r="H23" i="14" s="1"/>
  <c r="Y154" i="1"/>
  <c r="W154" i="1" s="1"/>
  <c r="I18" i="14" s="1"/>
  <c r="Y155" i="1"/>
  <c r="W155" i="1" s="1"/>
  <c r="I19" i="14" s="1"/>
  <c r="Y149" i="1"/>
  <c r="W149" i="1" s="1"/>
  <c r="I13" i="14" s="1"/>
  <c r="Y127" i="1"/>
  <c r="W127" i="1" s="1"/>
  <c r="H11" i="14" s="1"/>
  <c r="Y109" i="1"/>
  <c r="W109" i="1" s="1"/>
  <c r="G13" i="14" s="1"/>
  <c r="Y112" i="1"/>
  <c r="W112" i="1" s="1"/>
  <c r="G16" i="14" s="1"/>
  <c r="Y162" i="1"/>
  <c r="W162" i="1" s="1"/>
  <c r="I26" i="14" s="1"/>
  <c r="Y110" i="1"/>
  <c r="W110" i="1" s="1"/>
  <c r="G14" i="14" s="1"/>
  <c r="Y134" i="1"/>
  <c r="W134" i="1" s="1"/>
  <c r="H18" i="14" s="1"/>
  <c r="Y118" i="1"/>
  <c r="W118" i="1" s="1"/>
  <c r="G22" i="14" s="1"/>
  <c r="Y161" i="1"/>
  <c r="W161" i="1" s="1"/>
  <c r="I25" i="14" s="1"/>
  <c r="Y146" i="1"/>
  <c r="W146" i="1" s="1"/>
  <c r="I10" i="14" s="1"/>
  <c r="Y147" i="1"/>
  <c r="W147" i="1" s="1"/>
  <c r="I11" i="14" s="1"/>
  <c r="Y116" i="1"/>
  <c r="W116" i="1" s="1"/>
  <c r="G20" i="14" s="1"/>
  <c r="Y148" i="1"/>
  <c r="W148" i="1" s="1"/>
  <c r="I12" i="14" s="1"/>
  <c r="Y137" i="1"/>
  <c r="W137" i="1" s="1"/>
  <c r="H21" i="14" s="1"/>
  <c r="Y119" i="1"/>
  <c r="W119" i="1" s="1"/>
  <c r="G23" i="14" s="1"/>
  <c r="Y157" i="1"/>
  <c r="W157" i="1" s="1"/>
  <c r="I21" i="14" s="1"/>
  <c r="Y117" i="1"/>
  <c r="W117" i="1" s="1"/>
  <c r="G21" i="14" s="1"/>
  <c r="Y150" i="1"/>
  <c r="W150" i="1" s="1"/>
  <c r="I14" i="14" s="1"/>
  <c r="Y135" i="1"/>
  <c r="W135" i="1" s="1"/>
  <c r="H19" i="14" s="1"/>
  <c r="Y156" i="1"/>
  <c r="W156" i="1" s="1"/>
  <c r="I20" i="14" s="1"/>
  <c r="Y133" i="1"/>
  <c r="W133" i="1" s="1"/>
  <c r="H17" i="14" s="1"/>
  <c r="Y120" i="1"/>
  <c r="W120" i="1" s="1"/>
  <c r="G24" i="14" s="1"/>
  <c r="Y125" i="1"/>
  <c r="W125" i="1" s="1"/>
  <c r="H9" i="14" s="1"/>
  <c r="Y114" i="1"/>
  <c r="W114" i="1" s="1"/>
  <c r="G18" i="14" s="1"/>
  <c r="Y136" i="1"/>
  <c r="W136" i="1" s="1"/>
  <c r="H20" i="14" s="1"/>
  <c r="Y158" i="1"/>
  <c r="W158" i="1" s="1"/>
  <c r="I22" i="14" s="1"/>
  <c r="Y138" i="1"/>
  <c r="W138" i="1" s="1"/>
  <c r="H22" i="14" s="1"/>
  <c r="Y153" i="1"/>
  <c r="W153" i="1" s="1"/>
  <c r="I17" i="14" s="1"/>
  <c r="Y113" i="1"/>
  <c r="W113" i="1" s="1"/>
  <c r="G17" i="14" s="1"/>
  <c r="Y107" i="1"/>
  <c r="W107" i="1" s="1"/>
  <c r="G11" i="14" s="1"/>
  <c r="Y129" i="1"/>
  <c r="W129" i="1" s="1"/>
  <c r="H13" i="14" s="1"/>
  <c r="Y130" i="1"/>
  <c r="W130" i="1" s="1"/>
  <c r="H14" i="14" s="1"/>
  <c r="Y126" i="1"/>
  <c r="W126" i="1" s="1"/>
  <c r="H10" i="14" s="1"/>
  <c r="Y131" i="1"/>
  <c r="W131" i="1" s="1"/>
  <c r="H15" i="14" s="1"/>
  <c r="Y111" i="1"/>
  <c r="W111" i="1" s="1"/>
  <c r="G15" i="14" s="1"/>
  <c r="Y140" i="1"/>
  <c r="W140" i="1" s="1"/>
  <c r="H24" i="14" s="1"/>
  <c r="Y141" i="1"/>
  <c r="W141" i="1" s="1"/>
  <c r="H25" i="14" s="1"/>
  <c r="Y132" i="1"/>
  <c r="W132" i="1" s="1"/>
  <c r="H16" i="14" s="1"/>
  <c r="Y160" i="1"/>
  <c r="W160" i="1" s="1"/>
  <c r="I24" i="14" s="1"/>
  <c r="Y105" i="1"/>
  <c r="W105" i="1" s="1"/>
  <c r="G9" i="14" s="1"/>
  <c r="Y122" i="1"/>
  <c r="W122" i="1" s="1"/>
  <c r="G26" i="14" s="1"/>
  <c r="Y152" i="1"/>
  <c r="W152" i="1" s="1"/>
  <c r="I16" i="14" s="1"/>
  <c r="Y108" i="1"/>
  <c r="W108" i="1" s="1"/>
  <c r="G12" i="14" s="1"/>
  <c r="Y121" i="1"/>
  <c r="W121" i="1" s="1"/>
  <c r="G25" i="14" s="1"/>
  <c r="Y145" i="1"/>
  <c r="W145" i="1" s="1"/>
  <c r="I9" i="14" s="1"/>
  <c r="Y151" i="1"/>
  <c r="W151" i="1" s="1"/>
  <c r="I15" i="14" s="1"/>
  <c r="Y115" i="1"/>
  <c r="W115" i="1" s="1"/>
  <c r="G19" i="14" s="1"/>
  <c r="Y128" i="1"/>
  <c r="W128" i="1" s="1"/>
  <c r="H12" i="14" s="1"/>
  <c r="Y159" i="1"/>
  <c r="W159" i="1" s="1"/>
  <c r="I23" i="14" s="1"/>
  <c r="Y106" i="1"/>
  <c r="W106" i="1" s="1"/>
  <c r="G10" i="14" s="1"/>
  <c r="Y100" i="1"/>
  <c r="W100" i="1" s="1"/>
  <c r="F24" i="14" s="1"/>
  <c r="Y73" i="1"/>
  <c r="W73" i="1" s="1"/>
  <c r="E17" i="14" s="1"/>
  <c r="Y91" i="1"/>
  <c r="W91" i="1" s="1"/>
  <c r="F15" i="14" s="1"/>
  <c r="Y97" i="1"/>
  <c r="W97" i="1" s="1"/>
  <c r="F21" i="14" s="1"/>
  <c r="Y94" i="1"/>
  <c r="W94" i="1" s="1"/>
  <c r="F18" i="14" s="1"/>
  <c r="Y67" i="1"/>
  <c r="W67" i="1" s="1"/>
  <c r="E11" i="14" s="1"/>
  <c r="Y74" i="1"/>
  <c r="W74" i="1" s="1"/>
  <c r="E18" i="14" s="1"/>
  <c r="Y75" i="1"/>
  <c r="W75" i="1" s="1"/>
  <c r="E19" i="14" s="1"/>
  <c r="Y78" i="1"/>
  <c r="W78" i="1" s="1"/>
  <c r="E22" i="14" s="1"/>
  <c r="Y102" i="1"/>
  <c r="W102" i="1" s="1"/>
  <c r="F26" i="14" s="1"/>
  <c r="Y82" i="1"/>
  <c r="W82" i="1" s="1"/>
  <c r="E26" i="14" s="1"/>
  <c r="Y70" i="1"/>
  <c r="W70" i="1" s="1"/>
  <c r="E14" i="14" s="1"/>
  <c r="Y101" i="1"/>
  <c r="W101" i="1" s="1"/>
  <c r="F25" i="14" s="1"/>
  <c r="Y76" i="1"/>
  <c r="W76" i="1" s="1"/>
  <c r="E20" i="14" s="1"/>
  <c r="Y71" i="1"/>
  <c r="W71" i="1" s="1"/>
  <c r="E15" i="14" s="1"/>
  <c r="Y65" i="1"/>
  <c r="W65" i="1" s="1"/>
  <c r="E9" i="14" s="1"/>
  <c r="Y80" i="1"/>
  <c r="W80" i="1" s="1"/>
  <c r="E24" i="14" s="1"/>
  <c r="Y62" i="1"/>
  <c r="W62" i="1" s="1"/>
  <c r="D26" i="14" s="1"/>
  <c r="Y90" i="1"/>
  <c r="W90" i="1" s="1"/>
  <c r="F14" i="14" s="1"/>
  <c r="Y96" i="1"/>
  <c r="W96" i="1" s="1"/>
  <c r="F20" i="14" s="1"/>
  <c r="Y81" i="1"/>
  <c r="W81" i="1" s="1"/>
  <c r="E25" i="14" s="1"/>
  <c r="Y69" i="1"/>
  <c r="W69" i="1" s="1"/>
  <c r="E13" i="14" s="1"/>
  <c r="Y66" i="1"/>
  <c r="W66" i="1" s="1"/>
  <c r="E10" i="14" s="1"/>
  <c r="Y85" i="1"/>
  <c r="W85" i="1" s="1"/>
  <c r="F9" i="14" s="1"/>
  <c r="Y95" i="1"/>
  <c r="W95" i="1" s="1"/>
  <c r="F19" i="14" s="1"/>
  <c r="Y86" i="1"/>
  <c r="W86" i="1" s="1"/>
  <c r="F10" i="14" s="1"/>
  <c r="Y79" i="1"/>
  <c r="W79" i="1" s="1"/>
  <c r="E23" i="14" s="1"/>
  <c r="Y92" i="1"/>
  <c r="W92" i="1" s="1"/>
  <c r="F16" i="14" s="1"/>
  <c r="Y72" i="1"/>
  <c r="W72" i="1" s="1"/>
  <c r="E16" i="14" s="1"/>
  <c r="Y99" i="1"/>
  <c r="W99" i="1" s="1"/>
  <c r="F23" i="14" s="1"/>
  <c r="Y46" i="1"/>
  <c r="W46" i="1" s="1"/>
  <c r="D10" i="14" s="1"/>
  <c r="Y93" i="1"/>
  <c r="W93" i="1" s="1"/>
  <c r="F17" i="14" s="1"/>
  <c r="Y87" i="1"/>
  <c r="W87" i="1" s="1"/>
  <c r="F11" i="14" s="1"/>
  <c r="Y98" i="1"/>
  <c r="W98" i="1" s="1"/>
  <c r="F22" i="14" s="1"/>
  <c r="Y77" i="1"/>
  <c r="W77" i="1" s="1"/>
  <c r="E21" i="14" s="1"/>
  <c r="Y68" i="1"/>
  <c r="W68" i="1" s="1"/>
  <c r="E12" i="14" s="1"/>
  <c r="Y89" i="1"/>
  <c r="W89" i="1" s="1"/>
  <c r="F13" i="14" s="1"/>
  <c r="Y88" i="1"/>
  <c r="W88" i="1" s="1"/>
  <c r="F12" i="14" s="1"/>
  <c r="Y51" i="1"/>
  <c r="W51" i="1" s="1"/>
  <c r="D15" i="14" s="1"/>
  <c r="Y55" i="1"/>
  <c r="W55" i="1" s="1"/>
  <c r="D19" i="14" s="1"/>
  <c r="Y48" i="1"/>
  <c r="W48" i="1" s="1"/>
  <c r="D12" i="14" s="1"/>
  <c r="Y59" i="1"/>
  <c r="W59" i="1" s="1"/>
  <c r="D23" i="14" s="1"/>
  <c r="Y53" i="1"/>
  <c r="W53" i="1" s="1"/>
  <c r="D17" i="14" s="1"/>
  <c r="Y50" i="1"/>
  <c r="W50" i="1" s="1"/>
  <c r="D14" i="14" s="1"/>
  <c r="Y56" i="1"/>
  <c r="W56" i="1" s="1"/>
  <c r="D20" i="14" s="1"/>
  <c r="Y60" i="1"/>
  <c r="W60" i="1" s="1"/>
  <c r="D24" i="14" s="1"/>
  <c r="Y52" i="1"/>
  <c r="W52" i="1" s="1"/>
  <c r="D16" i="14" s="1"/>
  <c r="Y47" i="1"/>
  <c r="W47" i="1" s="1"/>
  <c r="D11" i="14" s="1"/>
  <c r="Y61" i="1"/>
  <c r="W61" i="1" s="1"/>
  <c r="D25" i="14" s="1"/>
  <c r="Y57" i="1"/>
  <c r="W57" i="1" s="1"/>
  <c r="D21" i="14" s="1"/>
  <c r="Y49" i="1"/>
  <c r="W49" i="1" s="1"/>
  <c r="D13" i="14" s="1"/>
  <c r="Y58" i="1"/>
  <c r="W58" i="1" s="1"/>
  <c r="D22" i="14" s="1"/>
  <c r="Y54" i="1"/>
  <c r="W54" i="1" s="1"/>
  <c r="D18" i="14" s="1"/>
  <c r="B8" i="15" l="1"/>
  <c r="B4" i="15"/>
  <c r="AL8" i="9"/>
  <c r="W8" i="9"/>
  <c r="Y8" i="9"/>
  <c r="V8" i="9"/>
  <c r="X8" i="9"/>
  <c r="T8" i="9"/>
  <c r="Q8" i="9"/>
  <c r="S8" i="9"/>
  <c r="R8" i="9"/>
  <c r="P8" i="9"/>
  <c r="O8" i="9"/>
  <c r="N8" i="9"/>
  <c r="D8" i="9"/>
  <c r="I8" i="9"/>
  <c r="J8" i="9"/>
  <c r="M8" i="9"/>
  <c r="H8" i="9"/>
  <c r="K8" i="9"/>
  <c r="G8" i="9"/>
  <c r="F8" i="9"/>
  <c r="L8" i="9"/>
  <c r="E8" i="9"/>
  <c r="H5" i="14"/>
  <c r="F5" i="14"/>
  <c r="E5" i="14"/>
  <c r="G5" i="14"/>
  <c r="D5" i="14"/>
  <c r="J5" i="14"/>
  <c r="I5" i="14"/>
  <c r="D15" i="1"/>
  <c r="D33" i="1"/>
  <c r="K152" i="1"/>
  <c r="K169" i="1"/>
  <c r="D336" i="1"/>
  <c r="D228" i="1"/>
  <c r="D136" i="1"/>
  <c r="K119" i="1"/>
  <c r="D280" i="1"/>
  <c r="K298" i="1"/>
  <c r="D170" i="1"/>
  <c r="D339" i="1"/>
  <c r="K61" i="1"/>
  <c r="D349" i="1"/>
  <c r="D315" i="1"/>
  <c r="K131" i="1"/>
  <c r="D153" i="1"/>
  <c r="K174" i="1"/>
  <c r="D314" i="1"/>
  <c r="K54" i="1"/>
  <c r="D171" i="1"/>
  <c r="D331" i="1"/>
  <c r="K206" i="1"/>
  <c r="K78" i="1"/>
  <c r="K73" i="1"/>
  <c r="D301" i="1"/>
  <c r="D51" i="1"/>
  <c r="K138" i="1"/>
  <c r="D279" i="1"/>
  <c r="K334" i="1"/>
  <c r="D253" i="1"/>
  <c r="D295" i="1"/>
  <c r="D302" i="1"/>
  <c r="K44" i="1"/>
  <c r="K180" i="1"/>
  <c r="D258" i="1"/>
  <c r="K120" i="1"/>
  <c r="K283" i="1"/>
  <c r="K319" i="1"/>
  <c r="K74" i="1"/>
  <c r="D225" i="1"/>
  <c r="K231" i="1"/>
  <c r="K353" i="1"/>
  <c r="K77" i="1"/>
  <c r="D363" i="1"/>
  <c r="D43" i="1"/>
  <c r="K108" i="1"/>
  <c r="D307" i="1"/>
  <c r="K186" i="1"/>
  <c r="D346" i="1"/>
  <c r="D126" i="1"/>
  <c r="D372" i="1"/>
  <c r="K121" i="1"/>
  <c r="K290" i="1"/>
  <c r="D364" i="1"/>
  <c r="D187" i="1"/>
  <c r="D188" i="1"/>
  <c r="D192" i="1"/>
  <c r="K308" i="1"/>
  <c r="K196" i="1"/>
  <c r="D263" i="1"/>
  <c r="K305" i="1"/>
  <c r="D318" i="1"/>
  <c r="D327" i="1"/>
  <c r="D199" i="1"/>
  <c r="D345" i="1"/>
  <c r="K312" i="1"/>
  <c r="D337" i="1"/>
  <c r="D141" i="1"/>
  <c r="K306" i="1"/>
  <c r="K356" i="1"/>
  <c r="K323" i="1"/>
  <c r="K176" i="1"/>
  <c r="D182" i="1"/>
  <c r="K276" i="1"/>
  <c r="D139" i="1"/>
  <c r="D163" i="1"/>
  <c r="K297" i="1"/>
  <c r="D261" i="1"/>
  <c r="D260" i="1"/>
  <c r="K325" i="1"/>
  <c r="K317" i="1"/>
  <c r="K118" i="1"/>
  <c r="K341" i="1"/>
  <c r="K370" i="1"/>
  <c r="D273" i="1"/>
  <c r="K182" i="1"/>
  <c r="K230" i="1"/>
  <c r="D114" i="1"/>
  <c r="D220" i="1"/>
  <c r="K372" i="1"/>
  <c r="K209" i="1"/>
  <c r="D120" i="1"/>
  <c r="K291" i="1"/>
  <c r="D297" i="1"/>
  <c r="K207" i="1"/>
  <c r="D195" i="1"/>
  <c r="K274" i="1"/>
  <c r="D130" i="1"/>
  <c r="K350" i="1"/>
  <c r="K364" i="1"/>
  <c r="K279" i="1"/>
  <c r="K110" i="1"/>
  <c r="D158" i="1"/>
  <c r="D329" i="1"/>
  <c r="K41" i="1"/>
  <c r="K106" i="1"/>
  <c r="D317" i="1"/>
  <c r="D303" i="1"/>
  <c r="D356" i="1"/>
  <c r="K191" i="1"/>
  <c r="K173" i="1"/>
  <c r="K143" i="1"/>
  <c r="K359" i="1"/>
  <c r="D237" i="1"/>
  <c r="K26" i="1"/>
  <c r="D351" i="1"/>
  <c r="D107" i="1"/>
  <c r="D181" i="1"/>
  <c r="D151" i="1"/>
  <c r="D214" i="1"/>
  <c r="K324" i="1"/>
  <c r="K240" i="1"/>
  <c r="K316" i="1"/>
  <c r="D108" i="1"/>
  <c r="D40" i="1"/>
  <c r="D230" i="1"/>
  <c r="D248" i="1"/>
  <c r="D254" i="1"/>
  <c r="D293" i="1"/>
  <c r="D323" i="1"/>
  <c r="K352" i="1"/>
  <c r="K375" i="1"/>
  <c r="K27" i="1"/>
  <c r="D166" i="1"/>
  <c r="D287" i="1"/>
  <c r="D282" i="1"/>
  <c r="K361" i="1"/>
  <c r="D110" i="1"/>
  <c r="D111" i="1"/>
  <c r="D197" i="1"/>
  <c r="D259" i="1"/>
  <c r="K286" i="1"/>
  <c r="D340" i="1"/>
  <c r="K155" i="1"/>
  <c r="D150" i="1"/>
  <c r="D122" i="1"/>
  <c r="K237" i="1"/>
  <c r="D264" i="1"/>
  <c r="K254" i="1"/>
  <c r="D284" i="1"/>
  <c r="D164" i="1"/>
  <c r="K132" i="1"/>
  <c r="K159" i="1"/>
  <c r="K241" i="1"/>
  <c r="D275" i="1"/>
  <c r="D320" i="1"/>
  <c r="D204" i="1"/>
  <c r="K309" i="1"/>
  <c r="D325" i="1"/>
  <c r="K347" i="1"/>
  <c r="K210" i="1"/>
  <c r="D138" i="1"/>
  <c r="K296" i="1"/>
  <c r="D116" i="1"/>
  <c r="D27" i="1"/>
  <c r="K39" i="1"/>
  <c r="D270" i="1"/>
  <c r="D250" i="1"/>
  <c r="K302" i="1"/>
  <c r="D175" i="1"/>
  <c r="D127" i="1"/>
  <c r="D347" i="1"/>
  <c r="K358" i="1"/>
  <c r="D115" i="1"/>
  <c r="D306" i="1"/>
  <c r="D348" i="1"/>
  <c r="D196" i="1"/>
  <c r="D221" i="1"/>
  <c r="K149" i="1"/>
  <c r="D128" i="1"/>
  <c r="D140" i="1"/>
  <c r="D252" i="1"/>
  <c r="D38" i="1"/>
  <c r="K202" i="1"/>
  <c r="D198" i="1"/>
  <c r="K194" i="1"/>
  <c r="D216" i="1"/>
  <c r="K144" i="1"/>
  <c r="K327" i="1"/>
  <c r="D374" i="1"/>
  <c r="D29" i="1"/>
  <c r="K37" i="1"/>
  <c r="D105" i="1"/>
  <c r="D186" i="1"/>
  <c r="K208" i="1"/>
  <c r="D119" i="1"/>
  <c r="D276" i="1"/>
  <c r="D291" i="1"/>
  <c r="D224" i="1"/>
  <c r="K360" i="1"/>
  <c r="K367" i="1"/>
  <c r="D30" i="1"/>
  <c r="D194" i="1"/>
  <c r="D217" i="1"/>
  <c r="D274" i="1"/>
  <c r="D34" i="1"/>
  <c r="K224" i="1"/>
  <c r="D298" i="1"/>
  <c r="K320" i="1"/>
  <c r="D375" i="1"/>
  <c r="K184" i="1"/>
  <c r="D232" i="1"/>
  <c r="K239" i="1"/>
  <c r="K221" i="1"/>
  <c r="K340" i="1"/>
  <c r="K351" i="1"/>
  <c r="K294" i="1"/>
  <c r="D312" i="1"/>
  <c r="K304" i="1"/>
  <c r="K32" i="1"/>
  <c r="D133" i="1"/>
  <c r="K192" i="1"/>
  <c r="D174" i="1"/>
  <c r="D169" i="1"/>
  <c r="K158" i="1"/>
  <c r="D242" i="1"/>
  <c r="D243" i="1"/>
  <c r="K247" i="1"/>
  <c r="K252" i="1"/>
  <c r="D257" i="1"/>
  <c r="K371" i="1"/>
  <c r="D37" i="1"/>
  <c r="K117" i="1"/>
  <c r="D358" i="1"/>
  <c r="D304" i="1"/>
  <c r="D352" i="1"/>
  <c r="D369" i="1"/>
  <c r="K105" i="1"/>
  <c r="D129" i="1"/>
  <c r="D117" i="1"/>
  <c r="K216" i="1"/>
  <c r="K270" i="1"/>
  <c r="K339" i="1"/>
  <c r="D236" i="1"/>
  <c r="D285" i="1"/>
  <c r="K281" i="1"/>
  <c r="D32" i="1"/>
  <c r="K45" i="1"/>
  <c r="D26" i="1"/>
  <c r="D106" i="1"/>
  <c r="D159" i="1"/>
  <c r="D180" i="1"/>
  <c r="D132" i="1"/>
  <c r="K215" i="1"/>
  <c r="K227" i="1"/>
  <c r="K265" i="1"/>
  <c r="K268" i="1"/>
  <c r="K261" i="1"/>
  <c r="D370" i="1"/>
  <c r="D131" i="1"/>
  <c r="D210" i="1"/>
  <c r="K183" i="1"/>
  <c r="K154" i="1"/>
  <c r="D235" i="1"/>
  <c r="D152" i="1"/>
  <c r="K282" i="1"/>
  <c r="K369" i="1"/>
  <c r="K29" i="1"/>
  <c r="K103" i="1"/>
  <c r="D143" i="1"/>
  <c r="K161" i="1"/>
  <c r="D162" i="1"/>
  <c r="K165" i="1"/>
  <c r="K129" i="1"/>
  <c r="K171" i="1"/>
  <c r="D218" i="1"/>
  <c r="K251" i="1"/>
  <c r="D359" i="1"/>
  <c r="D362" i="1"/>
  <c r="D247" i="1"/>
  <c r="K43" i="1"/>
  <c r="D39" i="1"/>
  <c r="D109" i="1"/>
  <c r="K140" i="1"/>
  <c r="K203" i="1"/>
  <c r="K127" i="1"/>
  <c r="K204" i="1"/>
  <c r="K148" i="1"/>
  <c r="D154" i="1"/>
  <c r="K150" i="1"/>
  <c r="K197" i="1"/>
  <c r="K122" i="1"/>
  <c r="K232" i="1"/>
  <c r="D241" i="1"/>
  <c r="K220" i="1"/>
  <c r="K198" i="1"/>
  <c r="K136" i="1"/>
  <c r="K280" i="1"/>
  <c r="K292" i="1"/>
  <c r="K257" i="1"/>
  <c r="K285" i="1"/>
  <c r="D246" i="1"/>
  <c r="K271" i="1"/>
  <c r="D326" i="1"/>
  <c r="D335" i="1"/>
  <c r="D313" i="1"/>
  <c r="D360" i="1"/>
  <c r="K301" i="1"/>
  <c r="K28" i="1"/>
  <c r="K38" i="1"/>
  <c r="K30" i="1"/>
  <c r="D45" i="1"/>
  <c r="K109" i="1"/>
  <c r="D121" i="1"/>
  <c r="D149" i="1"/>
  <c r="D177" i="1"/>
  <c r="D193" i="1"/>
  <c r="D118" i="1"/>
  <c r="K187" i="1"/>
  <c r="K238" i="1"/>
  <c r="K217" i="1"/>
  <c r="D155" i="1"/>
  <c r="K228" i="1"/>
  <c r="K225" i="1"/>
  <c r="K273" i="1"/>
  <c r="K263" i="1"/>
  <c r="D265" i="1"/>
  <c r="D262" i="1"/>
  <c r="D272" i="1"/>
  <c r="K303" i="1"/>
  <c r="K331" i="1"/>
  <c r="D353" i="1"/>
  <c r="K162" i="1"/>
  <c r="D226" i="1"/>
  <c r="K153" i="1"/>
  <c r="K218" i="1"/>
  <c r="D215" i="1"/>
  <c r="D283" i="1"/>
  <c r="K248" i="1"/>
  <c r="D286" i="1"/>
  <c r="K293" i="1"/>
  <c r="D361" i="1"/>
  <c r="K307" i="1"/>
  <c r="D357" i="1"/>
  <c r="D338" i="1"/>
  <c r="K346" i="1"/>
  <c r="D104" i="1"/>
  <c r="K163" i="1"/>
  <c r="D148" i="1"/>
  <c r="K116" i="1"/>
  <c r="K219" i="1"/>
  <c r="D341" i="1"/>
  <c r="D305" i="1"/>
  <c r="D373" i="1"/>
  <c r="K34" i="1"/>
  <c r="K172" i="1"/>
  <c r="D173" i="1"/>
  <c r="K170" i="1"/>
  <c r="D137" i="1"/>
  <c r="K262" i="1"/>
  <c r="K335" i="1"/>
  <c r="K342" i="1"/>
  <c r="D334" i="1"/>
  <c r="K368" i="1"/>
  <c r="D183" i="1"/>
  <c r="D205" i="1"/>
  <c r="K195" i="1"/>
  <c r="D144" i="1"/>
  <c r="K242" i="1"/>
  <c r="D231" i="1"/>
  <c r="K213" i="1"/>
  <c r="K139" i="1"/>
  <c r="D292" i="1"/>
  <c r="D294" i="1"/>
  <c r="D281" i="1"/>
  <c r="D316" i="1"/>
  <c r="K348" i="1"/>
  <c r="K329" i="1"/>
  <c r="D330" i="1"/>
  <c r="D368" i="1"/>
  <c r="D44" i="1"/>
  <c r="D41" i="1"/>
  <c r="K111" i="1"/>
  <c r="K147" i="1"/>
  <c r="D176" i="1"/>
  <c r="D172" i="1"/>
  <c r="K236" i="1"/>
  <c r="K137" i="1"/>
  <c r="D219" i="1"/>
  <c r="K141" i="1"/>
  <c r="D227" i="1"/>
  <c r="D269" i="1"/>
  <c r="K269" i="1"/>
  <c r="D342" i="1"/>
  <c r="D350" i="1"/>
  <c r="D308" i="1"/>
  <c r="K363" i="1"/>
  <c r="D367" i="1"/>
  <c r="K373" i="1"/>
  <c r="D28" i="1"/>
  <c r="D31" i="1"/>
  <c r="K33" i="1"/>
  <c r="K42" i="1"/>
  <c r="D103" i="1"/>
  <c r="D161" i="1"/>
  <c r="K125" i="1"/>
  <c r="D207" i="1"/>
  <c r="K185" i="1"/>
  <c r="D191" i="1"/>
  <c r="K151" i="1"/>
  <c r="K114" i="1"/>
  <c r="D213" i="1"/>
  <c r="K235" i="1"/>
  <c r="D229" i="1"/>
  <c r="D147" i="1"/>
  <c r="K226" i="1"/>
  <c r="K287" i="1"/>
  <c r="K246" i="1"/>
  <c r="K272" i="1"/>
  <c r="D290" i="1"/>
  <c r="K259" i="1"/>
  <c r="D249" i="1"/>
  <c r="K336" i="1"/>
  <c r="K328" i="1"/>
  <c r="K330" i="1"/>
  <c r="K326" i="1"/>
  <c r="K318" i="1"/>
  <c r="K349" i="1"/>
  <c r="K107" i="1"/>
  <c r="K115" i="1"/>
  <c r="D160" i="1"/>
  <c r="D203" i="1"/>
  <c r="K181" i="1"/>
  <c r="D125" i="1"/>
  <c r="D184" i="1"/>
  <c r="K133" i="1"/>
  <c r="K243" i="1"/>
  <c r="K250" i="1"/>
  <c r="K258" i="1"/>
  <c r="K253" i="1"/>
  <c r="K264" i="1"/>
  <c r="K362" i="1"/>
  <c r="K338" i="1"/>
  <c r="D319" i="1"/>
  <c r="D309" i="1"/>
  <c r="K357" i="1"/>
  <c r="D324" i="1"/>
  <c r="K337" i="1"/>
  <c r="K315" i="1"/>
  <c r="K40" i="1"/>
  <c r="K126" i="1"/>
  <c r="K177" i="1"/>
  <c r="K193" i="1"/>
  <c r="K142" i="1"/>
  <c r="K164" i="1"/>
  <c r="K199" i="1"/>
  <c r="K166" i="1"/>
  <c r="D208" i="1"/>
  <c r="K214" i="1"/>
  <c r="D239" i="1"/>
  <c r="D142" i="1"/>
  <c r="D240" i="1"/>
  <c r="D271" i="1"/>
  <c r="D268" i="1"/>
  <c r="D296" i="1"/>
  <c r="K275" i="1"/>
  <c r="D328" i="1"/>
  <c r="K31" i="1"/>
  <c r="D42" i="1"/>
  <c r="K104" i="1"/>
  <c r="K128" i="1"/>
  <c r="K175" i="1"/>
  <c r="K130" i="1"/>
  <c r="K160" i="1"/>
  <c r="D209" i="1"/>
  <c r="K188" i="1"/>
  <c r="K229" i="1"/>
  <c r="D238" i="1"/>
  <c r="D185" i="1"/>
  <c r="D165" i="1"/>
  <c r="D251" i="1"/>
  <c r="K249" i="1"/>
  <c r="K295" i="1"/>
  <c r="K260" i="1"/>
  <c r="K284" i="1"/>
  <c r="K313" i="1"/>
  <c r="K314" i="1"/>
  <c r="K345" i="1"/>
  <c r="D371" i="1"/>
  <c r="K374" i="1"/>
  <c r="D99" i="1"/>
  <c r="K94" i="1"/>
  <c r="D93" i="1"/>
  <c r="K95" i="1"/>
  <c r="K99" i="1"/>
  <c r="K97" i="1"/>
  <c r="K93" i="1"/>
  <c r="K100" i="1"/>
  <c r="K98" i="1"/>
  <c r="D96" i="1"/>
  <c r="D100" i="1"/>
  <c r="K92" i="1"/>
  <c r="K96" i="1"/>
  <c r="D95" i="1"/>
  <c r="D94" i="1"/>
  <c r="D98" i="1"/>
  <c r="D97" i="1"/>
  <c r="D92" i="1"/>
  <c r="D88" i="1"/>
  <c r="K87" i="1"/>
  <c r="K86" i="1"/>
  <c r="K82" i="1"/>
  <c r="D84" i="1"/>
  <c r="K85" i="1"/>
  <c r="K89" i="1"/>
  <c r="D86" i="1"/>
  <c r="K83" i="1"/>
  <c r="D76" i="1"/>
  <c r="K88" i="1"/>
  <c r="K84" i="1"/>
  <c r="K81" i="1"/>
  <c r="D87" i="1"/>
  <c r="D85" i="1"/>
  <c r="D89" i="1"/>
  <c r="D82" i="1"/>
  <c r="D81" i="1"/>
  <c r="D83" i="1"/>
  <c r="D75" i="1"/>
  <c r="D70" i="1"/>
  <c r="K75" i="1"/>
  <c r="D74" i="1"/>
  <c r="K71" i="1"/>
  <c r="K72" i="1"/>
  <c r="K76" i="1"/>
  <c r="D77" i="1"/>
  <c r="K70" i="1"/>
  <c r="D78" i="1"/>
  <c r="D71" i="1"/>
  <c r="D73" i="1"/>
  <c r="D72" i="1"/>
  <c r="K59" i="1"/>
  <c r="K62" i="1"/>
  <c r="K63" i="1"/>
  <c r="D67" i="1"/>
  <c r="K67" i="1"/>
  <c r="K65" i="1"/>
  <c r="K66" i="1"/>
  <c r="K60" i="1"/>
  <c r="K64" i="1"/>
  <c r="D66" i="1"/>
  <c r="D65" i="1"/>
  <c r="D63" i="1"/>
  <c r="D64" i="1"/>
  <c r="D61" i="1"/>
  <c r="D60" i="1"/>
  <c r="D62" i="1"/>
  <c r="D59" i="1"/>
  <c r="K56" i="1"/>
  <c r="D55" i="1"/>
  <c r="K53" i="1"/>
  <c r="K51" i="1"/>
  <c r="D48" i="1"/>
  <c r="K49" i="1"/>
  <c r="K50" i="1"/>
  <c r="K52" i="1"/>
  <c r="K48" i="1"/>
  <c r="D50" i="1"/>
  <c r="K55" i="1"/>
  <c r="D54" i="1"/>
  <c r="D49" i="1"/>
  <c r="D56" i="1"/>
  <c r="D53" i="1"/>
  <c r="D52" i="1"/>
  <c r="W377" i="1"/>
  <c r="T21" i="14" s="1"/>
  <c r="U8" i="9" s="1"/>
  <c r="AE18" i="1"/>
  <c r="AF13" i="1"/>
  <c r="AE8" i="1"/>
  <c r="AF10" i="1"/>
  <c r="AF5" i="1"/>
  <c r="AF20" i="1"/>
  <c r="AA18" i="1"/>
  <c r="AE13" i="1"/>
  <c r="AA8" i="1"/>
  <c r="AA16" i="1"/>
  <c r="AE20" i="1"/>
  <c r="AF15" i="1"/>
  <c r="AA13" i="1"/>
  <c r="AE10" i="1"/>
  <c r="AE5" i="1"/>
  <c r="AF22" i="1"/>
  <c r="AA20" i="1"/>
  <c r="AE15" i="1"/>
  <c r="AA10" i="1"/>
  <c r="AE22" i="1"/>
  <c r="AF17" i="1"/>
  <c r="AA15" i="1"/>
  <c r="AF7" i="1"/>
  <c r="AA5" i="1"/>
  <c r="AA22" i="1"/>
  <c r="AE17" i="1"/>
  <c r="AF12" i="1"/>
  <c r="AE7" i="1"/>
  <c r="AF18" i="1"/>
  <c r="AF19" i="1"/>
  <c r="AA17" i="1"/>
  <c r="AE12" i="1"/>
  <c r="AF9" i="1"/>
  <c r="AA7" i="1"/>
  <c r="AE19" i="1"/>
  <c r="AF14" i="1"/>
  <c r="AA12" i="1"/>
  <c r="AE9" i="1"/>
  <c r="AF6" i="1"/>
  <c r="AF21" i="1"/>
  <c r="AA19" i="1"/>
  <c r="AE14" i="1"/>
  <c r="AF11" i="1"/>
  <c r="AA9" i="1"/>
  <c r="AA6" i="1"/>
  <c r="AE21" i="1"/>
  <c r="AF16" i="1"/>
  <c r="AA14" i="1"/>
  <c r="AE11" i="1"/>
  <c r="AA21" i="1"/>
  <c r="AE16" i="1"/>
  <c r="AA11" i="1"/>
  <c r="AE6" i="1"/>
  <c r="AF8" i="1"/>
  <c r="AC17" i="1"/>
  <c r="AD8" i="1"/>
  <c r="AC7" i="1"/>
  <c r="AD11" i="1"/>
  <c r="AD17" i="1"/>
  <c r="AC22" i="1"/>
  <c r="AC5" i="1"/>
  <c r="AB10" i="1"/>
  <c r="AD10" i="1"/>
  <c r="AC12" i="1"/>
  <c r="AB11" i="1"/>
  <c r="AD15" i="1"/>
  <c r="AD5" i="1"/>
  <c r="AC16" i="1"/>
  <c r="AC6" i="1"/>
  <c r="AB7" i="1"/>
  <c r="AC11" i="1"/>
  <c r="AB13" i="1"/>
  <c r="AC13" i="1"/>
  <c r="AD13" i="1"/>
  <c r="AB17" i="1"/>
  <c r="AB19" i="1"/>
  <c r="AD9" i="1"/>
  <c r="AB12" i="1"/>
  <c r="AC10" i="1"/>
  <c r="AD19" i="1"/>
  <c r="AB14" i="1"/>
  <c r="AD14" i="1"/>
  <c r="AC15" i="1"/>
  <c r="AD20" i="1"/>
  <c r="AB5" i="1"/>
  <c r="AB22" i="1"/>
  <c r="AC14" i="1"/>
  <c r="AD6" i="1"/>
  <c r="AD12" i="1"/>
  <c r="AB9" i="1"/>
  <c r="AB18" i="1"/>
  <c r="AB15" i="1"/>
  <c r="AB16" i="1"/>
  <c r="AC20" i="1"/>
  <c r="AB20" i="1"/>
  <c r="AD7" i="1"/>
  <c r="AC9" i="1"/>
  <c r="AD18" i="1"/>
  <c r="AB8" i="1"/>
  <c r="AC18" i="1"/>
  <c r="AC19" i="1"/>
  <c r="AB21" i="1"/>
  <c r="AC8" i="1"/>
  <c r="AC21" i="1"/>
  <c r="AD21" i="1"/>
  <c r="AD22" i="1"/>
  <c r="AD16" i="1"/>
  <c r="AB6" i="1"/>
  <c r="K18" i="1"/>
  <c r="D206" i="1" l="1"/>
  <c r="AH16" i="1"/>
  <c r="K205" i="1"/>
  <c r="AH15" i="1"/>
  <c r="AH11" i="1"/>
  <c r="AH7" i="1"/>
  <c r="AH22" i="1"/>
  <c r="D202" i="1"/>
  <c r="AH18" i="1"/>
  <c r="AH6" i="1"/>
  <c r="AH5" i="1"/>
  <c r="K21" i="1"/>
  <c r="AH20" i="1"/>
  <c r="AG19" i="1"/>
  <c r="AG20" i="1"/>
  <c r="AG21" i="1"/>
  <c r="AG12" i="1"/>
  <c r="AG22" i="1"/>
  <c r="AG13" i="1"/>
  <c r="AH21" i="1"/>
  <c r="AH9" i="1"/>
  <c r="AH12" i="1"/>
  <c r="AG14" i="1"/>
  <c r="AG15" i="1"/>
  <c r="AI15" i="1" s="1"/>
  <c r="AG6" i="1"/>
  <c r="AH19" i="1"/>
  <c r="AG7" i="1"/>
  <c r="AH8" i="1"/>
  <c r="AH14" i="1"/>
  <c r="AH17" i="1"/>
  <c r="AG16" i="1"/>
  <c r="AG5" i="1"/>
  <c r="AG8" i="1"/>
  <c r="AH10" i="1"/>
  <c r="AG9" i="1"/>
  <c r="AG17" i="1"/>
  <c r="AG10" i="1"/>
  <c r="AG11" i="1"/>
  <c r="AG18" i="1"/>
  <c r="AH13" i="1"/>
  <c r="K22" i="1"/>
  <c r="K23" i="1"/>
  <c r="K17" i="1"/>
  <c r="D21" i="1"/>
  <c r="D16" i="1"/>
  <c r="D20" i="1"/>
  <c r="D17" i="1"/>
  <c r="D22" i="1"/>
  <c r="K15" i="1"/>
  <c r="K20" i="1"/>
  <c r="K16" i="1"/>
  <c r="K19" i="1"/>
  <c r="D18" i="1"/>
  <c r="D23" i="1"/>
  <c r="D19" i="1"/>
  <c r="AI16" i="1" l="1"/>
  <c r="AI11" i="1"/>
  <c r="AI7" i="1"/>
  <c r="AI19" i="1"/>
  <c r="AI13" i="1"/>
  <c r="AI14" i="1"/>
  <c r="AI20" i="1"/>
  <c r="AI8" i="1"/>
  <c r="AI5" i="1"/>
  <c r="AI6" i="1"/>
  <c r="AI17" i="1"/>
  <c r="AI18" i="1"/>
  <c r="AI12" i="1"/>
  <c r="AI22" i="1"/>
  <c r="AI9" i="1"/>
  <c r="AI10" i="1"/>
  <c r="AI21" i="1"/>
  <c r="Y19" i="1" l="1"/>
  <c r="Y9" i="1"/>
  <c r="Y5" i="1"/>
  <c r="Y8" i="1"/>
  <c r="Y14" i="1"/>
  <c r="Y12" i="1"/>
  <c r="Y7" i="1"/>
  <c r="Y15" i="1"/>
  <c r="Y20" i="1"/>
  <c r="Y11" i="1"/>
  <c r="Y17" i="1"/>
  <c r="Y13" i="1"/>
  <c r="Y10" i="1"/>
  <c r="Y6" i="1"/>
  <c r="Y22" i="1"/>
  <c r="Y21" i="1"/>
  <c r="Y16" i="1"/>
  <c r="Y18" i="1"/>
  <c r="AU18" i="1" l="1"/>
  <c r="AS8" i="1"/>
  <c r="AS16" i="1"/>
  <c r="AT14" i="1"/>
  <c r="AO5" i="1"/>
  <c r="AU20" i="1"/>
  <c r="AP11" i="1"/>
  <c r="AM7" i="1"/>
  <c r="AN7" i="1"/>
  <c r="AS11" i="1"/>
  <c r="AP7" i="1"/>
  <c r="AQ7" i="1"/>
  <c r="AN15" i="1"/>
  <c r="AM9" i="1"/>
  <c r="AR13" i="1"/>
  <c r="AS19" i="1"/>
  <c r="AQ9" i="1"/>
  <c r="AO18" i="1"/>
  <c r="AR15" i="1"/>
  <c r="AM6" i="1"/>
  <c r="AS21" i="1"/>
  <c r="AN12" i="1"/>
  <c r="AS10" i="1"/>
  <c r="AT10" i="1"/>
  <c r="AQ12" i="1"/>
  <c r="AN8" i="1"/>
  <c r="AO8" i="1"/>
  <c r="AT18" i="1"/>
  <c r="AQ20" i="1"/>
  <c r="AO21" i="1"/>
  <c r="AO10" i="1"/>
  <c r="AM20" i="1"/>
  <c r="AP16" i="1"/>
  <c r="AU8" i="1"/>
  <c r="AQ11" i="1"/>
  <c r="AT15" i="1"/>
  <c r="AM13" i="1"/>
  <c r="AR11" i="1"/>
  <c r="AO19" i="1"/>
  <c r="AT11" i="1"/>
  <c r="AR19" i="1"/>
  <c r="AP13" i="1"/>
  <c r="AR8" i="1"/>
  <c r="AM11" i="1"/>
  <c r="AU11" i="1"/>
  <c r="AN17" i="1"/>
  <c r="AS9" i="1"/>
  <c r="AQ17" i="1"/>
  <c r="AR16" i="1"/>
  <c r="AU21" i="1"/>
  <c r="AP12" i="1"/>
  <c r="AM15" i="1"/>
  <c r="AR12" i="1"/>
  <c r="AS12" i="1"/>
  <c r="AP20" i="1"/>
  <c r="AT19" i="1"/>
  <c r="AR14" i="1"/>
  <c r="AU13" i="1"/>
  <c r="AS18" i="1"/>
  <c r="AT20" i="1"/>
  <c r="AQ10" i="1"/>
  <c r="AU16" i="1"/>
  <c r="AP17" i="1"/>
  <c r="AO13" i="1"/>
  <c r="AN13" i="1"/>
  <c r="AQ19" i="1"/>
  <c r="AN21" i="1"/>
  <c r="AM4" i="1"/>
  <c r="AN4" i="1"/>
  <c r="AS14" i="1"/>
  <c r="AR20" i="1"/>
  <c r="AR21" i="1"/>
  <c r="AO11" i="1"/>
  <c r="AO14" i="1"/>
  <c r="AN18" i="1"/>
  <c r="AS17" i="1"/>
  <c r="AT16" i="1"/>
  <c r="AP21" i="1"/>
  <c r="AN14" i="1"/>
  <c r="AT6" i="1"/>
  <c r="AS7" i="1"/>
  <c r="AU6" i="1"/>
  <c r="AT7" i="1"/>
  <c r="AQ15" i="1"/>
  <c r="AP4" i="1"/>
  <c r="AO12" i="1"/>
  <c r="AM12" i="1"/>
  <c r="AM21" i="1"/>
  <c r="AT21" i="1"/>
  <c r="AQ13" i="1"/>
  <c r="AR17" i="1"/>
  <c r="AU4" i="1"/>
  <c r="AT17" i="1"/>
  <c r="AR7" i="1"/>
  <c r="AM10" i="1"/>
  <c r="AM16" i="1"/>
  <c r="AN20" i="1"/>
  <c r="AQ8" i="1"/>
  <c r="AP9" i="1"/>
  <c r="AO16" i="1"/>
  <c r="AN5" i="1"/>
  <c r="AU15" i="1"/>
  <c r="AU14" i="1"/>
  <c r="AR4" i="1"/>
  <c r="AU9" i="1"/>
  <c r="AO20" i="1"/>
  <c r="AP18" i="1"/>
  <c r="AQ6" i="1"/>
  <c r="AR18" i="1"/>
  <c r="AP8" i="1"/>
  <c r="AQ14" i="1"/>
  <c r="AO9" i="1"/>
  <c r="AN16" i="1"/>
  <c r="AM17" i="1"/>
  <c r="AT8" i="1"/>
  <c r="AM19" i="1"/>
  <c r="AS15" i="1"/>
  <c r="AP5" i="1"/>
  <c r="AP15" i="1"/>
  <c r="AT13" i="1"/>
  <c r="AN19" i="1"/>
  <c r="AM8" i="1"/>
  <c r="AP19" i="1"/>
  <c r="AN9" i="1"/>
  <c r="AU12" i="1"/>
  <c r="AO4" i="1"/>
  <c r="AU19" i="1"/>
  <c r="AR9" i="1"/>
  <c r="AM14" i="1"/>
  <c r="AQ16" i="1"/>
  <c r="AN6" i="1"/>
  <c r="AS4" i="1"/>
  <c r="AT4" i="1"/>
  <c r="AS5" i="1"/>
  <c r="AU17" i="1"/>
  <c r="AT12" i="1"/>
  <c r="AS13" i="1"/>
  <c r="AM5" i="1"/>
  <c r="AS20" i="1"/>
  <c r="AP10" i="1"/>
  <c r="AQ18" i="1"/>
  <c r="AO17" i="1"/>
  <c r="AT9" i="1"/>
  <c r="AQ5" i="1"/>
  <c r="AR5" i="1"/>
  <c r="AO7" i="1"/>
  <c r="AT5" i="1"/>
  <c r="AU5" i="1"/>
  <c r="AN10" i="1"/>
  <c r="AO15" i="1"/>
  <c r="AU7" i="1"/>
  <c r="AQ21" i="1"/>
  <c r="AN11" i="1"/>
  <c r="AQ4" i="1"/>
  <c r="AM18" i="1"/>
  <c r="AR10" i="1"/>
  <c r="AO6" i="1"/>
  <c r="AP6" i="1"/>
  <c r="AU10" i="1"/>
  <c r="AR6" i="1"/>
  <c r="AS6" i="1"/>
  <c r="AP14" i="1"/>
  <c r="G4" i="15" l="1"/>
  <c r="B5" i="15"/>
  <c r="G12" i="15"/>
  <c r="B12" i="15"/>
  <c r="G11" i="15"/>
  <c r="G7" i="15"/>
  <c r="G6" i="15"/>
  <c r="G5" i="15"/>
  <c r="B10" i="15"/>
  <c r="B6" i="15"/>
  <c r="B7" i="15"/>
  <c r="B9" i="15"/>
  <c r="G10" i="15"/>
  <c r="G9" i="15"/>
  <c r="G8" i="15"/>
  <c r="B11" i="15"/>
  <c r="Z18" i="11"/>
  <c r="R35" i="11"/>
  <c r="Q8" i="11"/>
  <c r="AG17" i="11"/>
  <c r="AK32" i="11"/>
  <c r="AJ16" i="11"/>
  <c r="AB27" i="9"/>
  <c r="H28" i="11"/>
  <c r="M7" i="11"/>
  <c r="J29" i="9"/>
  <c r="AB26" i="9"/>
  <c r="Z29" i="11"/>
  <c r="T18" i="9"/>
  <c r="AC28" i="9"/>
  <c r="T34" i="11"/>
  <c r="E30" i="9"/>
  <c r="AD26" i="9"/>
  <c r="AJ26" i="9"/>
  <c r="I15" i="9"/>
  <c r="V21" i="9"/>
  <c r="F16" i="11"/>
  <c r="AE34" i="11"/>
  <c r="L15" i="9"/>
  <c r="I38" i="11"/>
  <c r="K7" i="11"/>
  <c r="M32" i="9"/>
  <c r="AJ28" i="9"/>
  <c r="AC34" i="11"/>
  <c r="AK8" i="11"/>
  <c r="AF28" i="9"/>
  <c r="H40" i="11"/>
  <c r="O26" i="11"/>
  <c r="S8" i="11"/>
  <c r="AJ25" i="9"/>
  <c r="AA15" i="9"/>
  <c r="AL9" i="11"/>
  <c r="I11" i="11"/>
  <c r="AA38" i="11"/>
  <c r="D24" i="9"/>
  <c r="AD35" i="11"/>
  <c r="D22" i="9"/>
  <c r="AB25" i="9"/>
  <c r="Z32" i="9"/>
  <c r="V29" i="9"/>
  <c r="X32" i="9"/>
  <c r="AF31" i="9"/>
  <c r="G16" i="9"/>
  <c r="AL28" i="11"/>
  <c r="F24" i="9"/>
  <c r="J25" i="9"/>
  <c r="M31" i="9"/>
  <c r="G32" i="11"/>
  <c r="R17" i="9"/>
  <c r="P16" i="9"/>
  <c r="U29" i="11"/>
  <c r="AH33" i="11"/>
  <c r="AB39" i="11"/>
  <c r="AG18" i="9"/>
  <c r="M15" i="9"/>
  <c r="AG24" i="11"/>
  <c r="V24" i="9"/>
  <c r="AI24" i="11"/>
  <c r="N30" i="9"/>
  <c r="AJ34" i="11"/>
  <c r="R12" i="11"/>
  <c r="F18" i="9"/>
  <c r="O13" i="11"/>
  <c r="AD38" i="11"/>
  <c r="E36" i="11"/>
  <c r="AI26" i="9"/>
  <c r="E26" i="11"/>
  <c r="AD31" i="9"/>
  <c r="AJ24" i="9"/>
  <c r="Z12" i="11"/>
  <c r="AA20" i="9"/>
  <c r="AH12" i="11"/>
  <c r="U18" i="9"/>
  <c r="Q29" i="9"/>
  <c r="AB31" i="11"/>
  <c r="AD27" i="9"/>
  <c r="E19" i="11"/>
  <c r="H19" i="9"/>
  <c r="U26" i="9"/>
  <c r="AH28" i="9"/>
  <c r="Y28" i="9"/>
  <c r="AE20" i="9"/>
  <c r="AG27" i="11"/>
  <c r="P15" i="9"/>
  <c r="J5" i="11"/>
  <c r="L27" i="11"/>
  <c r="X26" i="9"/>
  <c r="R19" i="9"/>
  <c r="M26" i="11"/>
  <c r="AK25" i="9"/>
  <c r="Y9" i="11"/>
  <c r="K17" i="11"/>
  <c r="Y23" i="11"/>
  <c r="AJ21" i="9"/>
  <c r="P7" i="11"/>
  <c r="AE18" i="9"/>
  <c r="K34" i="11"/>
  <c r="U23" i="9"/>
  <c r="AJ20" i="9"/>
  <c r="V20" i="9"/>
  <c r="Y30" i="9"/>
  <c r="H16" i="9"/>
  <c r="V3" i="11"/>
  <c r="AK3" i="11"/>
  <c r="S32" i="11"/>
  <c r="U25" i="9"/>
  <c r="R4" i="11"/>
  <c r="X31" i="9"/>
  <c r="S20" i="9"/>
  <c r="O15" i="9"/>
  <c r="H18" i="11"/>
  <c r="AC31" i="11"/>
  <c r="M28" i="9"/>
  <c r="L21" i="9"/>
  <c r="AH18" i="9"/>
  <c r="F31" i="11"/>
  <c r="AE32" i="9"/>
  <c r="AH29" i="9"/>
  <c r="AA31" i="9"/>
  <c r="M25" i="9"/>
  <c r="AB27" i="11"/>
  <c r="G38" i="11"/>
  <c r="AE29" i="9"/>
  <c r="L10" i="11"/>
  <c r="S15" i="11"/>
  <c r="AI37" i="11"/>
  <c r="T28" i="9"/>
  <c r="X29" i="9"/>
  <c r="AH20" i="9"/>
  <c r="AD28" i="9"/>
  <c r="Y34" i="11"/>
  <c r="AE13" i="11"/>
  <c r="Y38" i="11"/>
  <c r="F13" i="11"/>
  <c r="O18" i="11"/>
  <c r="AJ27" i="9"/>
  <c r="AC32" i="11"/>
  <c r="R39" i="11"/>
  <c r="Q22" i="9"/>
  <c r="AC27" i="9"/>
  <c r="U32" i="9"/>
  <c r="V15" i="11"/>
  <c r="AJ38" i="11"/>
  <c r="I19" i="11"/>
  <c r="AC23" i="11"/>
  <c r="R31" i="9"/>
  <c r="F22" i="9"/>
  <c r="N16" i="11"/>
  <c r="J22" i="9"/>
  <c r="AB14" i="11"/>
  <c r="H25" i="9"/>
  <c r="E23" i="11"/>
  <c r="O23" i="9"/>
  <c r="G27" i="9"/>
  <c r="M16" i="9"/>
  <c r="AI23" i="9"/>
  <c r="M32" i="11"/>
  <c r="L12" i="11"/>
  <c r="D18" i="9"/>
  <c r="P29" i="11"/>
  <c r="O3" i="11"/>
  <c r="V15" i="9"/>
  <c r="W8" i="11"/>
  <c r="AA22" i="9"/>
  <c r="V22" i="9"/>
  <c r="E21" i="9"/>
  <c r="I18" i="9"/>
  <c r="AE22" i="9"/>
  <c r="P16" i="11"/>
  <c r="AL20" i="11"/>
  <c r="AI36" i="11"/>
  <c r="I22" i="9"/>
  <c r="AF33" i="11"/>
  <c r="Y36" i="11"/>
  <c r="L23" i="9"/>
  <c r="AH14" i="11"/>
  <c r="N25" i="11"/>
  <c r="F25" i="9"/>
  <c r="D31" i="9"/>
  <c r="M18" i="9"/>
  <c r="E25" i="9"/>
  <c r="M17" i="11"/>
  <c r="AE28" i="9"/>
  <c r="AA32" i="11"/>
  <c r="Z6" i="11"/>
  <c r="AI18" i="9"/>
  <c r="H20" i="9"/>
  <c r="Q24" i="9"/>
  <c r="V13" i="11"/>
  <c r="N37" i="11"/>
  <c r="AL10" i="11"/>
  <c r="AG18" i="11"/>
  <c r="AK19" i="9"/>
  <c r="X15" i="11"/>
  <c r="K32" i="11"/>
  <c r="S6" i="11"/>
  <c r="K23" i="9"/>
  <c r="AF18" i="9"/>
  <c r="V32" i="9"/>
  <c r="D32" i="9"/>
  <c r="AG5" i="11"/>
  <c r="S24" i="9"/>
  <c r="U31" i="9"/>
  <c r="I26" i="9"/>
  <c r="V27" i="9"/>
  <c r="AA16" i="9"/>
  <c r="S18" i="11"/>
  <c r="K26" i="9"/>
  <c r="M9" i="11"/>
  <c r="G30" i="11"/>
  <c r="AH17" i="11"/>
  <c r="Z27" i="11"/>
  <c r="AE27" i="9"/>
  <c r="E11" i="11"/>
  <c r="R23" i="11"/>
  <c r="Q25" i="9"/>
  <c r="Z10" i="11"/>
  <c r="AB4" i="11"/>
  <c r="Q23" i="9"/>
  <c r="W33" i="11"/>
  <c r="Q15" i="9"/>
  <c r="M23" i="9"/>
  <c r="N32" i="9"/>
  <c r="AA36" i="11"/>
  <c r="K32" i="9"/>
  <c r="AC7" i="11"/>
  <c r="N35" i="11"/>
  <c r="V30" i="11"/>
  <c r="P17" i="9"/>
  <c r="AD11" i="11"/>
  <c r="AE26" i="9"/>
  <c r="V39" i="11"/>
  <c r="AC26" i="9"/>
  <c r="P27" i="9"/>
  <c r="AL11" i="11"/>
  <c r="L19" i="9"/>
  <c r="P10" i="11"/>
  <c r="AE30" i="9"/>
  <c r="S30" i="11"/>
  <c r="L28" i="9"/>
  <c r="J35" i="11"/>
  <c r="AB33" i="11"/>
  <c r="S32" i="9"/>
  <c r="X24" i="11"/>
  <c r="D19" i="9"/>
  <c r="AL12" i="11"/>
  <c r="E17" i="11"/>
  <c r="AE9" i="11"/>
  <c r="I30" i="9"/>
  <c r="AB16" i="11"/>
  <c r="D16" i="9"/>
  <c r="H29" i="9"/>
  <c r="AF28" i="11"/>
  <c r="T7" i="11"/>
  <c r="Z24" i="9"/>
  <c r="AL38" i="11"/>
  <c r="S36" i="11"/>
  <c r="R27" i="9"/>
  <c r="Z33" i="11"/>
  <c r="K24" i="11"/>
  <c r="AK16" i="11"/>
  <c r="AD18" i="9"/>
  <c r="AI14" i="11"/>
  <c r="I19" i="9"/>
  <c r="S40" i="11"/>
  <c r="W25" i="9"/>
  <c r="T26" i="9"/>
  <c r="L30" i="9"/>
  <c r="G31" i="9"/>
  <c r="AH38" i="11"/>
  <c r="AJ22" i="9"/>
  <c r="Z40" i="11"/>
  <c r="T11" i="11"/>
  <c r="M19" i="9"/>
  <c r="L24" i="9"/>
  <c r="E24" i="9"/>
  <c r="AB38" i="11"/>
  <c r="AA23" i="9"/>
  <c r="H23" i="9"/>
  <c r="J16" i="9"/>
  <c r="AI13" i="11"/>
  <c r="AI6" i="11"/>
  <c r="M19" i="11"/>
  <c r="F40" i="11"/>
  <c r="W17" i="11"/>
  <c r="X30" i="9"/>
  <c r="I8" i="11"/>
  <c r="V12" i="11"/>
  <c r="V5" i="11"/>
  <c r="J16" i="11"/>
  <c r="AK31" i="11"/>
  <c r="AE8" i="11"/>
  <c r="J12" i="11"/>
  <c r="AJ18" i="9"/>
  <c r="AE18" i="11"/>
  <c r="AF38" i="11"/>
  <c r="AI29" i="11"/>
  <c r="P20" i="11"/>
  <c r="P29" i="9"/>
  <c r="S22" i="9"/>
  <c r="P23" i="9"/>
  <c r="AI8" i="11"/>
  <c r="Z22" i="9"/>
  <c r="W22" i="9"/>
  <c r="F30" i="9"/>
  <c r="F6" i="11"/>
  <c r="I21" i="9"/>
  <c r="V30" i="9"/>
  <c r="P31" i="9"/>
  <c r="W35" i="11"/>
  <c r="V28" i="11"/>
  <c r="K20" i="9"/>
  <c r="R21" i="9"/>
  <c r="AK21" i="9"/>
  <c r="U22" i="9"/>
  <c r="Z16" i="9"/>
  <c r="AG40" i="11"/>
  <c r="AL19" i="11"/>
  <c r="Y25" i="9"/>
  <c r="AG9" i="11"/>
  <c r="M21" i="9"/>
  <c r="Q13" i="11"/>
  <c r="L4" i="11"/>
  <c r="Y31" i="9"/>
  <c r="Y27" i="9"/>
  <c r="O40" i="11"/>
  <c r="K30" i="11"/>
  <c r="Z14" i="11"/>
  <c r="T22" i="9"/>
  <c r="M23" i="11"/>
  <c r="S25" i="9"/>
  <c r="AF22" i="9"/>
  <c r="H27" i="11"/>
  <c r="Y32" i="9"/>
  <c r="AC25" i="9"/>
  <c r="AK28" i="9"/>
  <c r="G29" i="9"/>
  <c r="G8" i="11"/>
  <c r="AJ4" i="11"/>
  <c r="T26" i="11"/>
  <c r="K25" i="11"/>
  <c r="O26" i="9"/>
  <c r="U19" i="9"/>
  <c r="Q19" i="9"/>
  <c r="AJ19" i="9"/>
  <c r="AH25" i="9"/>
  <c r="AK24" i="9"/>
  <c r="W27" i="9"/>
  <c r="I24" i="11"/>
  <c r="AA7" i="11"/>
  <c r="S27" i="9"/>
  <c r="V28" i="9"/>
  <c r="F39" i="11"/>
  <c r="L16" i="11"/>
  <c r="AE15" i="11"/>
  <c r="J37" i="11"/>
  <c r="AI15" i="11"/>
  <c r="AL23" i="11"/>
  <c r="F26" i="9"/>
  <c r="L29" i="9"/>
  <c r="K26" i="11"/>
  <c r="G25" i="9"/>
  <c r="E9" i="11"/>
  <c r="T9" i="11"/>
  <c r="W28" i="9"/>
  <c r="I24" i="9"/>
  <c r="R23" i="9"/>
  <c r="G11" i="11"/>
  <c r="AK18" i="9"/>
  <c r="T16" i="9"/>
  <c r="AB19" i="9"/>
  <c r="I31" i="9"/>
  <c r="R7" i="11"/>
  <c r="AC19" i="11"/>
  <c r="E23" i="9"/>
  <c r="AC29" i="9"/>
  <c r="AL26" i="11"/>
  <c r="J39" i="11"/>
  <c r="X16" i="9"/>
  <c r="AJ16" i="9"/>
  <c r="AC40" i="11"/>
  <c r="W30" i="9"/>
  <c r="G4" i="11"/>
  <c r="E29" i="9"/>
  <c r="E35" i="11"/>
  <c r="AA34" i="11"/>
  <c r="AA24" i="11"/>
  <c r="P28" i="11"/>
  <c r="G24" i="9"/>
  <c r="AI24" i="9"/>
  <c r="R20" i="11"/>
  <c r="H28" i="9"/>
  <c r="Q31" i="9"/>
  <c r="L6" i="11"/>
  <c r="D17" i="9"/>
  <c r="R15" i="9"/>
  <c r="M30" i="11"/>
  <c r="Q27" i="11"/>
  <c r="G18" i="9"/>
  <c r="X17" i="9"/>
  <c r="X33" i="11"/>
  <c r="U24" i="9"/>
  <c r="AK15" i="9"/>
  <c r="P12" i="11"/>
  <c r="S29" i="9"/>
  <c r="U40" i="11"/>
  <c r="G13" i="11"/>
  <c r="L18" i="9"/>
  <c r="I16" i="9"/>
  <c r="AB31" i="9"/>
  <c r="H27" i="9"/>
  <c r="AC13" i="11"/>
  <c r="Y29" i="9"/>
  <c r="N21" i="9"/>
  <c r="AB32" i="9"/>
  <c r="R16" i="9"/>
  <c r="I28" i="9"/>
  <c r="H32" i="9"/>
  <c r="Y20" i="9"/>
  <c r="N15" i="9"/>
  <c r="AE23" i="9"/>
  <c r="AI29" i="9"/>
  <c r="Q19" i="11"/>
  <c r="AJ23" i="9"/>
  <c r="AF23" i="11"/>
  <c r="T15" i="9"/>
  <c r="AD27" i="11"/>
  <c r="AI16" i="9"/>
  <c r="T36" i="11"/>
  <c r="AF29" i="9"/>
  <c r="AB17" i="9"/>
  <c r="AK6" i="11"/>
  <c r="G19" i="9"/>
  <c r="AA19" i="11"/>
  <c r="S27" i="11"/>
  <c r="AE40" i="11"/>
  <c r="S26" i="9"/>
  <c r="O30" i="9"/>
  <c r="AD29" i="9"/>
  <c r="P21" i="9"/>
  <c r="U6" i="11"/>
  <c r="AG26" i="11"/>
  <c r="Z18" i="9"/>
  <c r="AF10" i="11"/>
  <c r="U3" i="11"/>
  <c r="AA17" i="11"/>
  <c r="Y22" i="9"/>
  <c r="O32" i="9"/>
  <c r="T25" i="11"/>
  <c r="W10" i="11"/>
  <c r="Q32" i="11"/>
  <c r="H29" i="11"/>
  <c r="AH23" i="9"/>
  <c r="J20" i="9"/>
  <c r="T29" i="9"/>
  <c r="AC15" i="11"/>
  <c r="Y30" i="11"/>
  <c r="AG8" i="11"/>
  <c r="AD14" i="11"/>
  <c r="E18" i="9"/>
  <c r="Z4" i="11"/>
  <c r="O27" i="9"/>
  <c r="G15" i="9"/>
  <c r="L25" i="11"/>
  <c r="H39" i="11"/>
  <c r="W25" i="11"/>
  <c r="Y11" i="11"/>
  <c r="E22" i="9"/>
  <c r="W7" i="11"/>
  <c r="AC32" i="9"/>
  <c r="M26" i="9"/>
  <c r="AJ26" i="11"/>
  <c r="W31" i="9"/>
  <c r="L14" i="11"/>
  <c r="AA21" i="9"/>
  <c r="AJ17" i="11"/>
  <c r="J28" i="9"/>
  <c r="P39" i="11"/>
  <c r="T24" i="9"/>
  <c r="AH29" i="11"/>
  <c r="N16" i="9"/>
  <c r="AI3" i="11"/>
  <c r="AA26" i="9"/>
  <c r="E15" i="9"/>
  <c r="Z27" i="9"/>
  <c r="K19" i="9"/>
  <c r="N39" i="11"/>
  <c r="AG30" i="9"/>
  <c r="S19" i="9"/>
  <c r="X19" i="9"/>
  <c r="AF27" i="9"/>
  <c r="I23" i="9"/>
  <c r="K11" i="11"/>
  <c r="X21" i="9"/>
  <c r="AI32" i="9"/>
  <c r="L27" i="9"/>
  <c r="Z26" i="9"/>
  <c r="AE24" i="11"/>
  <c r="T21" i="9"/>
  <c r="K22" i="9"/>
  <c r="J24" i="9"/>
  <c r="Y13" i="11"/>
  <c r="E8" i="11"/>
  <c r="AH35" i="11"/>
  <c r="AB24" i="9"/>
  <c r="AC8" i="11"/>
  <c r="R30" i="9"/>
  <c r="AC17" i="9"/>
  <c r="AE31" i="9"/>
  <c r="O30" i="11"/>
  <c r="Z29" i="9"/>
  <c r="I17" i="9"/>
  <c r="T32" i="9"/>
  <c r="V6" i="11"/>
  <c r="AA30" i="11"/>
  <c r="K9" i="11"/>
  <c r="AJ20" i="11"/>
  <c r="AG17" i="9"/>
  <c r="X22" i="9"/>
  <c r="AK18" i="11"/>
  <c r="AJ31" i="9"/>
  <c r="F23" i="9"/>
  <c r="AF25" i="9"/>
  <c r="G34" i="11"/>
  <c r="H14" i="11"/>
  <c r="Y26" i="11"/>
  <c r="AC15" i="9"/>
  <c r="Y18" i="9"/>
  <c r="AA19" i="9"/>
  <c r="U27" i="11"/>
  <c r="P33" i="11"/>
  <c r="I32" i="11"/>
  <c r="AI20" i="9"/>
  <c r="F19" i="9"/>
  <c r="AG28" i="9"/>
  <c r="AE17" i="9"/>
  <c r="AF35" i="11"/>
  <c r="AG22" i="9"/>
  <c r="AI15" i="9"/>
  <c r="AH16" i="9"/>
  <c r="AG3" i="11"/>
  <c r="AG25" i="9"/>
  <c r="AD3" i="11"/>
  <c r="AK5" i="11"/>
  <c r="AE16" i="9"/>
  <c r="T31" i="9"/>
  <c r="N26" i="9"/>
  <c r="J29" i="11"/>
  <c r="W21" i="9"/>
  <c r="O8" i="11"/>
  <c r="AA17" i="9"/>
  <c r="R28" i="9"/>
  <c r="AG20" i="9"/>
  <c r="W26" i="9"/>
  <c r="O17" i="11"/>
  <c r="L32" i="9"/>
  <c r="AA20" i="11"/>
  <c r="Y8" i="11"/>
  <c r="O17" i="9"/>
  <c r="P23" i="11"/>
  <c r="E34" i="11"/>
  <c r="E25" i="11"/>
  <c r="W19" i="9"/>
  <c r="J28" i="11"/>
  <c r="K31" i="9"/>
  <c r="AH28" i="11"/>
  <c r="U21" i="9"/>
  <c r="X29" i="11"/>
  <c r="Q30" i="11"/>
  <c r="AJ30" i="9"/>
  <c r="G36" i="11"/>
  <c r="AF26" i="9"/>
  <c r="Q9" i="11"/>
  <c r="AG32" i="11"/>
  <c r="E4" i="11"/>
  <c r="M27" i="9"/>
  <c r="E17" i="9"/>
  <c r="F31" i="9"/>
  <c r="AE26" i="11"/>
  <c r="AG24" i="9"/>
  <c r="AC17" i="11"/>
  <c r="AD33" i="11"/>
  <c r="AE30" i="11"/>
  <c r="G23" i="9"/>
  <c r="O22" i="9"/>
  <c r="L20" i="11"/>
  <c r="K36" i="11"/>
  <c r="M5" i="11"/>
  <c r="W24" i="9"/>
  <c r="P6" i="11"/>
  <c r="G35" i="11"/>
  <c r="L38" i="11"/>
  <c r="AB5" i="11"/>
  <c r="G21" i="9"/>
  <c r="L33" i="11"/>
  <c r="AG21" i="9"/>
  <c r="O5" i="11"/>
  <c r="AE25" i="9"/>
  <c r="V23" i="9"/>
  <c r="M8" i="11"/>
  <c r="U29" i="9"/>
  <c r="AB15" i="9"/>
  <c r="N7" i="11"/>
  <c r="M36" i="11"/>
  <c r="AJ10" i="11"/>
  <c r="S24" i="11"/>
  <c r="AK32" i="9"/>
  <c r="F28" i="11"/>
  <c r="R38" i="11"/>
  <c r="AH30" i="9"/>
  <c r="R22" i="9"/>
  <c r="AG15" i="11"/>
  <c r="AJ33" i="11"/>
  <c r="N11" i="11"/>
  <c r="R25" i="9"/>
  <c r="X27" i="11"/>
  <c r="T23" i="11"/>
  <c r="AF17" i="9"/>
  <c r="W17" i="9"/>
  <c r="K17" i="9"/>
  <c r="H35" i="11"/>
  <c r="Q26" i="9"/>
  <c r="AC30" i="11"/>
  <c r="AJ35" i="11"/>
  <c r="D26" i="9"/>
  <c r="P38" i="11"/>
  <c r="AF15" i="9"/>
  <c r="E19" i="9"/>
  <c r="J32" i="9"/>
  <c r="AE3" i="11"/>
  <c r="AG27" i="9"/>
  <c r="I17" i="11"/>
  <c r="J31" i="11"/>
  <c r="AA32" i="9"/>
  <c r="M15" i="11"/>
  <c r="AD32" i="9"/>
  <c r="AF30" i="9"/>
  <c r="Q16" i="9"/>
  <c r="G7" i="11"/>
  <c r="R17" i="11"/>
  <c r="W32" i="9"/>
  <c r="AH10" i="11"/>
  <c r="AH7" i="11"/>
  <c r="AJ11" i="11"/>
  <c r="X27" i="9"/>
  <c r="X37" i="11"/>
  <c r="AK22" i="9"/>
  <c r="P35" i="11"/>
  <c r="U39" i="11"/>
  <c r="AB22" i="9"/>
  <c r="Y17" i="9"/>
  <c r="X25" i="9"/>
  <c r="AA24" i="9"/>
  <c r="P32" i="9"/>
  <c r="K27" i="9"/>
  <c r="Y25" i="11"/>
  <c r="AH24" i="9"/>
  <c r="AK14" i="11"/>
  <c r="W23" i="11"/>
  <c r="Z28" i="9"/>
  <c r="O21" i="9"/>
  <c r="E33" i="11"/>
  <c r="Y15" i="11"/>
  <c r="V27" i="11"/>
  <c r="Y26" i="9"/>
  <c r="X31" i="11"/>
  <c r="AD20" i="9"/>
  <c r="S18" i="9"/>
  <c r="AK37" i="11"/>
  <c r="Y15" i="9"/>
  <c r="I7" i="11"/>
  <c r="E7" i="11"/>
  <c r="AC20" i="9"/>
  <c r="T19" i="11"/>
  <c r="AK30" i="11"/>
  <c r="AI5" i="11"/>
  <c r="AK13" i="11"/>
  <c r="AF16" i="9"/>
  <c r="F24" i="11"/>
  <c r="D27" i="9"/>
  <c r="AC31" i="9"/>
  <c r="AH17" i="9"/>
  <c r="N20" i="11"/>
  <c r="I9" i="11"/>
  <c r="T20" i="11"/>
  <c r="AC24" i="9"/>
  <c r="Z5" i="11"/>
  <c r="AD17" i="9"/>
  <c r="G26" i="9"/>
  <c r="AB28" i="9"/>
  <c r="AK29" i="11"/>
  <c r="O20" i="9"/>
  <c r="D21" i="9"/>
  <c r="E32" i="11"/>
  <c r="H4" i="11"/>
  <c r="J18" i="11"/>
  <c r="Z30" i="9"/>
  <c r="I15" i="11"/>
  <c r="J4" i="11"/>
  <c r="AL34" i="11"/>
  <c r="AB20" i="11"/>
  <c r="AE32" i="11"/>
  <c r="AH16" i="11"/>
  <c r="AD29" i="11"/>
  <c r="G32" i="9"/>
  <c r="H24" i="9"/>
  <c r="AD22" i="9"/>
  <c r="K8" i="11"/>
  <c r="AI27" i="9"/>
  <c r="S37" i="11"/>
  <c r="AA25" i="9"/>
  <c r="W9" i="11"/>
  <c r="AE5" i="11"/>
  <c r="N33" i="11"/>
  <c r="AB35" i="11"/>
  <c r="Z25" i="9"/>
  <c r="Z15" i="9"/>
  <c r="AH11" i="11"/>
  <c r="AG26" i="9"/>
  <c r="I20" i="11"/>
  <c r="R26" i="11"/>
  <c r="R26" i="9"/>
  <c r="AG23" i="9"/>
  <c r="P25" i="9"/>
  <c r="Y16" i="9"/>
  <c r="S3" i="11"/>
  <c r="G9" i="11"/>
  <c r="AG19" i="11"/>
  <c r="AJ15" i="9"/>
  <c r="J27" i="11"/>
  <c r="AD16" i="11"/>
  <c r="AJ9" i="11"/>
  <c r="J10" i="11"/>
  <c r="AB18" i="9"/>
  <c r="Q31" i="11"/>
  <c r="U14" i="11"/>
  <c r="P11" i="11"/>
  <c r="K23" i="11"/>
  <c r="J40" i="11"/>
  <c r="S28" i="9"/>
  <c r="AD25" i="11"/>
  <c r="Z19" i="9"/>
  <c r="U32" i="11"/>
  <c r="P28" i="9"/>
  <c r="I27" i="9"/>
  <c r="I23" i="11"/>
  <c r="W20" i="11"/>
  <c r="AD19" i="9"/>
  <c r="G17" i="11"/>
  <c r="AH32" i="9"/>
  <c r="S21" i="9"/>
  <c r="H37" i="11"/>
  <c r="N28" i="11"/>
  <c r="Y7" i="11"/>
  <c r="W23" i="9"/>
  <c r="D30" i="9"/>
  <c r="I29" i="9"/>
  <c r="AL4" i="11"/>
  <c r="X39" i="11"/>
  <c r="Y23" i="9"/>
  <c r="O18" i="9"/>
  <c r="U18" i="11"/>
  <c r="O15" i="11"/>
  <c r="L37" i="11"/>
  <c r="J18" i="9"/>
  <c r="AJ7" i="11"/>
  <c r="AE36" i="11"/>
  <c r="AG19" i="9"/>
  <c r="AH25" i="11"/>
  <c r="Y32" i="11"/>
  <c r="Z16" i="11"/>
  <c r="Z28" i="11"/>
  <c r="V37" i="11"/>
  <c r="AB10" i="11"/>
  <c r="Y17" i="11"/>
  <c r="L16" i="9"/>
  <c r="R28" i="11"/>
  <c r="V25" i="9"/>
  <c r="P22" i="9"/>
  <c r="P18" i="9"/>
  <c r="U16" i="11"/>
  <c r="U17" i="9"/>
  <c r="G30" i="9"/>
  <c r="AI25" i="9"/>
  <c r="J14" i="11"/>
  <c r="AF20" i="11"/>
  <c r="I25" i="11"/>
  <c r="AF25" i="11"/>
  <c r="U24" i="11"/>
  <c r="AI21" i="9"/>
  <c r="AG29" i="9"/>
  <c r="G23" i="11"/>
  <c r="X24" i="9"/>
  <c r="T33" i="11"/>
  <c r="K24" i="9"/>
  <c r="AC23" i="9"/>
  <c r="AJ28" i="11"/>
  <c r="N18" i="9"/>
  <c r="V40" i="11"/>
  <c r="N12" i="11"/>
  <c r="AC26" i="11"/>
  <c r="O25" i="9"/>
  <c r="M13" i="11"/>
  <c r="K18" i="11"/>
  <c r="AB12" i="11"/>
  <c r="AF7" i="11"/>
  <c r="U30" i="9"/>
  <c r="AB6" i="11"/>
  <c r="AF32" i="9"/>
  <c r="AH27" i="9"/>
  <c r="D25" i="9"/>
  <c r="AC21" i="9"/>
  <c r="AC16" i="9"/>
  <c r="AB20" i="9"/>
  <c r="O16" i="9"/>
  <c r="W29" i="9"/>
  <c r="J23" i="9"/>
  <c r="AD23" i="9"/>
  <c r="AI18" i="11"/>
  <c r="T12" i="11"/>
  <c r="Q40" i="11"/>
  <c r="Q34" i="11"/>
  <c r="G26" i="11"/>
  <c r="AJ39" i="11"/>
  <c r="K21" i="9"/>
  <c r="Q3" i="11"/>
  <c r="Q36" i="11"/>
  <c r="Y24" i="9"/>
  <c r="AH31" i="9"/>
  <c r="X23" i="9"/>
  <c r="H31" i="11"/>
  <c r="W32" i="11"/>
  <c r="AD30" i="9"/>
  <c r="AE15" i="9"/>
  <c r="X18" i="11"/>
  <c r="P20" i="9"/>
  <c r="O36" i="11"/>
  <c r="T25" i="9"/>
  <c r="S5" i="11"/>
  <c r="L22" i="9"/>
  <c r="AA9" i="11"/>
  <c r="AF4" i="11"/>
  <c r="R24" i="9"/>
  <c r="AE24" i="9"/>
  <c r="AK31" i="9"/>
  <c r="F37" i="11"/>
  <c r="X12" i="11"/>
  <c r="I34" i="11"/>
  <c r="V14" i="11"/>
  <c r="R29" i="9"/>
  <c r="K16" i="9"/>
  <c r="H30" i="9"/>
  <c r="Z31" i="11"/>
  <c r="U15" i="11"/>
  <c r="L25" i="9"/>
  <c r="AD25" i="9"/>
  <c r="J30" i="9"/>
  <c r="AF21" i="9"/>
  <c r="U20" i="9"/>
  <c r="X16" i="11"/>
  <c r="N29" i="9"/>
  <c r="K30" i="9"/>
  <c r="V18" i="9"/>
  <c r="X15" i="9"/>
  <c r="AD37" i="11"/>
  <c r="AC24" i="11"/>
  <c r="AA28" i="9"/>
  <c r="N22" i="9"/>
  <c r="AD15" i="9"/>
  <c r="AL35" i="11"/>
  <c r="U31" i="11"/>
  <c r="AC5" i="11"/>
  <c r="U28" i="9"/>
  <c r="J31" i="9"/>
  <c r="AI27" i="11"/>
  <c r="T20" i="9"/>
  <c r="V26" i="9"/>
  <c r="AC22" i="9"/>
  <c r="Q6" i="11"/>
  <c r="O28" i="9"/>
  <c r="AH21" i="9"/>
  <c r="AK20" i="9"/>
  <c r="I32" i="9"/>
  <c r="U16" i="9"/>
  <c r="AL36" i="11"/>
  <c r="W11" i="11"/>
  <c r="F14" i="11"/>
  <c r="I26" i="11"/>
  <c r="AK24" i="11"/>
  <c r="T10" i="11"/>
  <c r="AB3" i="11"/>
  <c r="G20" i="11"/>
  <c r="M29" i="9"/>
  <c r="R20" i="9"/>
  <c r="K40" i="11"/>
  <c r="AD39" i="11"/>
  <c r="AJ23" i="11"/>
  <c r="AI28" i="9"/>
  <c r="AB37" i="11"/>
  <c r="AI30" i="9"/>
  <c r="V18" i="11"/>
  <c r="AF39" i="11"/>
  <c r="AJ12" i="11"/>
  <c r="T38" i="11"/>
  <c r="W15" i="9"/>
  <c r="AB30" i="9"/>
  <c r="N10" i="11"/>
  <c r="P37" i="11"/>
  <c r="N23" i="9"/>
  <c r="AC18" i="11"/>
  <c r="W26" i="11"/>
  <c r="M30" i="9"/>
  <c r="S13" i="11"/>
  <c r="N27" i="9"/>
  <c r="N19" i="9"/>
  <c r="AH26" i="9"/>
  <c r="AI19" i="11"/>
  <c r="AE17" i="11"/>
  <c r="AC18" i="9"/>
  <c r="AD24" i="9"/>
  <c r="AI31" i="9"/>
  <c r="AG32" i="9"/>
  <c r="Q24" i="11"/>
  <c r="Q18" i="9"/>
  <c r="F17" i="9"/>
  <c r="E27" i="9"/>
  <c r="AF16" i="11"/>
  <c r="AA26" i="11"/>
  <c r="AG30" i="11"/>
  <c r="AH20" i="11"/>
  <c r="J33" i="11"/>
  <c r="AH23" i="11"/>
  <c r="Z37" i="11"/>
  <c r="H31" i="9"/>
  <c r="K28" i="9"/>
  <c r="V17" i="9"/>
  <c r="T19" i="9"/>
  <c r="F29" i="11"/>
  <c r="N31" i="9"/>
  <c r="J15" i="9"/>
  <c r="AF23" i="9"/>
  <c r="S15" i="9"/>
  <c r="H15" i="9"/>
  <c r="D23" i="9"/>
  <c r="AG36" i="11"/>
  <c r="L39" i="11"/>
  <c r="K29" i="9"/>
  <c r="N28" i="9"/>
  <c r="G17" i="9"/>
  <c r="M18" i="11"/>
  <c r="P14" i="11"/>
  <c r="AE19" i="9"/>
  <c r="AA25" i="11"/>
  <c r="F21" i="9"/>
  <c r="N17" i="9"/>
  <c r="U8" i="11"/>
  <c r="AL33" i="11"/>
  <c r="H26" i="9"/>
  <c r="Z35" i="11"/>
  <c r="F29" i="9"/>
  <c r="F15" i="9"/>
  <c r="M24" i="11"/>
  <c r="K18" i="9"/>
  <c r="O29" i="9"/>
  <c r="U15" i="9"/>
  <c r="J3" i="11"/>
  <c r="AG31" i="9"/>
  <c r="E32" i="9"/>
  <c r="O19" i="11"/>
  <c r="AD4" i="11"/>
  <c r="F27" i="11"/>
  <c r="AG13" i="11"/>
  <c r="N29" i="11"/>
  <c r="AK40" i="11"/>
  <c r="AA13" i="11"/>
  <c r="O9" i="11"/>
  <c r="Y20" i="11"/>
  <c r="AC30" i="9"/>
  <c r="AB16" i="9"/>
  <c r="O24" i="9"/>
  <c r="AI31" i="11"/>
  <c r="S17" i="9"/>
  <c r="N23" i="11"/>
  <c r="E20" i="9"/>
  <c r="F15" i="11"/>
  <c r="AA23" i="11"/>
  <c r="X14" i="11"/>
  <c r="AA11" i="11"/>
  <c r="AH22" i="9"/>
  <c r="Q32" i="9"/>
  <c r="T28" i="11"/>
  <c r="AA8" i="11"/>
  <c r="AK30" i="9"/>
  <c r="L3" i="11"/>
  <c r="AL7" i="11"/>
  <c r="H22" i="9"/>
  <c r="AB23" i="9"/>
  <c r="H5" i="11"/>
  <c r="AC36" i="11"/>
  <c r="AE21" i="9"/>
  <c r="G25" i="11"/>
  <c r="O27" i="11"/>
  <c r="Z39" i="11"/>
  <c r="AE31" i="11"/>
  <c r="T17" i="9"/>
  <c r="F12" i="11"/>
  <c r="AE27" i="11"/>
  <c r="V31" i="11"/>
  <c r="R11" i="11"/>
  <c r="P19" i="9"/>
  <c r="AI22" i="9"/>
  <c r="W38" i="11"/>
  <c r="K25" i="9"/>
  <c r="V29" i="11"/>
  <c r="U13" i="11"/>
  <c r="X40" i="11"/>
  <c r="E20" i="11"/>
  <c r="AK16" i="9"/>
  <c r="O31" i="9"/>
  <c r="Y21" i="9"/>
  <c r="X5" i="11"/>
  <c r="I30" i="11"/>
  <c r="R33" i="11"/>
  <c r="L20" i="9"/>
  <c r="O24" i="11"/>
  <c r="H21" i="9"/>
  <c r="G19" i="11"/>
  <c r="Q30" i="9"/>
  <c r="Q17" i="9"/>
  <c r="F28" i="9"/>
  <c r="J26" i="9"/>
  <c r="E31" i="9"/>
  <c r="J27" i="9"/>
  <c r="P24" i="9"/>
  <c r="T30" i="9"/>
  <c r="F27" i="9"/>
  <c r="T23" i="9"/>
  <c r="AB29" i="11"/>
  <c r="U27" i="9"/>
  <c r="AK17" i="9"/>
  <c r="AH15" i="9"/>
  <c r="E28" i="9"/>
  <c r="AH26" i="11"/>
  <c r="X10" i="11"/>
  <c r="AJ29" i="9"/>
  <c r="AG31" i="11"/>
  <c r="AH39" i="11"/>
  <c r="M24" i="9"/>
  <c r="D20" i="9"/>
  <c r="AD20" i="11"/>
  <c r="AI40" i="11"/>
  <c r="AD21" i="9"/>
  <c r="AL25" i="11"/>
  <c r="G20" i="9"/>
  <c r="O34" i="11"/>
  <c r="R25" i="11"/>
  <c r="R32" i="9"/>
  <c r="X20" i="9"/>
  <c r="F3" i="11"/>
  <c r="J21" i="9"/>
  <c r="AB29" i="9"/>
  <c r="G28" i="9"/>
  <c r="P30" i="9"/>
  <c r="AF12" i="11"/>
  <c r="M34" i="11"/>
  <c r="AG16" i="9"/>
  <c r="K19" i="11"/>
  <c r="F5" i="11"/>
  <c r="V19" i="9"/>
  <c r="Q20" i="9"/>
  <c r="S16" i="9"/>
  <c r="AJ17" i="9"/>
  <c r="AJ32" i="9"/>
  <c r="AF24" i="9"/>
  <c r="I20" i="9"/>
  <c r="AE19" i="11"/>
  <c r="AH19" i="9"/>
  <c r="AC19" i="9"/>
  <c r="AL17" i="11"/>
  <c r="V24" i="11"/>
  <c r="I25" i="9"/>
  <c r="U30" i="11"/>
  <c r="AB21" i="9"/>
  <c r="R34" i="11"/>
  <c r="F30" i="11"/>
  <c r="AD10" i="11"/>
  <c r="H10" i="11"/>
  <c r="Z23" i="9"/>
  <c r="AF29" i="11"/>
  <c r="H18" i="9"/>
  <c r="AD12" i="11"/>
  <c r="W20" i="9"/>
  <c r="AK26" i="9"/>
  <c r="N20" i="9"/>
  <c r="S30" i="9"/>
  <c r="E26" i="9"/>
  <c r="V16" i="9"/>
  <c r="AI32" i="11"/>
  <c r="V16" i="11"/>
  <c r="H17" i="9"/>
  <c r="R16" i="11"/>
  <c r="AK27" i="9"/>
  <c r="AD16" i="9"/>
  <c r="N4" i="11"/>
  <c r="AA27" i="9"/>
  <c r="AF19" i="9"/>
  <c r="Z21" i="9"/>
  <c r="I13" i="11"/>
  <c r="N6" i="11"/>
  <c r="O31" i="11"/>
  <c r="Q21" i="9"/>
  <c r="T35" i="11"/>
  <c r="U5" i="11"/>
  <c r="N25" i="9"/>
  <c r="J6" i="11"/>
  <c r="L26" i="9"/>
  <c r="AF37" i="11"/>
  <c r="O19" i="9"/>
  <c r="W34" i="11"/>
  <c r="G22" i="9"/>
  <c r="M22" i="9"/>
  <c r="F18" i="11"/>
  <c r="S19" i="11"/>
  <c r="F32" i="9"/>
  <c r="L11" i="11"/>
  <c r="M17" i="9"/>
  <c r="L17" i="9"/>
  <c r="Q28" i="9"/>
  <c r="N24" i="9"/>
  <c r="AG34" i="11"/>
  <c r="V31" i="9"/>
  <c r="W36" i="11"/>
  <c r="X3" i="11"/>
  <c r="H16" i="11"/>
  <c r="X28" i="11"/>
  <c r="T4" i="11"/>
  <c r="AA18" i="9"/>
  <c r="Z20" i="9"/>
  <c r="S14" i="11"/>
  <c r="F20" i="9"/>
  <c r="L35" i="11"/>
  <c r="D29" i="9"/>
  <c r="AF14" i="11"/>
  <c r="AK29" i="9"/>
  <c r="AI19" i="9"/>
  <c r="AK39" i="11"/>
  <c r="U37" i="11"/>
  <c r="T27" i="9"/>
  <c r="S31" i="9"/>
  <c r="AF11" i="11"/>
  <c r="X18" i="9"/>
  <c r="P25" i="11"/>
  <c r="W16" i="9"/>
  <c r="Z31" i="9"/>
  <c r="W19" i="11"/>
  <c r="D28" i="9"/>
  <c r="O32" i="11"/>
  <c r="AD28" i="11"/>
  <c r="L31" i="9"/>
  <c r="AF6" i="11"/>
  <c r="M31" i="11"/>
  <c r="AB28" i="11"/>
  <c r="AA15" i="11"/>
  <c r="Q15" i="11"/>
  <c r="H33" i="11"/>
  <c r="AK23" i="9"/>
  <c r="AC9" i="11"/>
  <c r="M20" i="9"/>
  <c r="W4" i="11"/>
  <c r="K13" i="11"/>
  <c r="W18" i="9"/>
  <c r="N14" i="11"/>
  <c r="F16" i="9"/>
  <c r="AA29" i="9"/>
  <c r="L28" i="11"/>
  <c r="AI30" i="11"/>
  <c r="AA30" i="9"/>
  <c r="Q5" i="11"/>
  <c r="Y24" i="11"/>
  <c r="R10" i="11"/>
  <c r="AK15" i="11"/>
  <c r="AI17" i="9"/>
  <c r="H3" i="11"/>
  <c r="AF20" i="9"/>
  <c r="AD6" i="11"/>
  <c r="L29" i="11"/>
  <c r="P4" i="11"/>
  <c r="AJ25" i="11"/>
  <c r="E16" i="9"/>
  <c r="K15" i="9"/>
  <c r="I36" i="11"/>
  <c r="K15" i="11"/>
  <c r="N38" i="11"/>
  <c r="P26" i="9"/>
  <c r="E38" i="11"/>
  <c r="X6" i="11"/>
  <c r="R9" i="11"/>
  <c r="Y19" i="9"/>
  <c r="S29" i="11"/>
  <c r="M40" i="11"/>
  <c r="Q18" i="11"/>
  <c r="T17" i="11"/>
  <c r="Y19" i="11"/>
  <c r="Z3" i="11"/>
  <c r="H6" i="11"/>
  <c r="J17" i="9"/>
  <c r="AG15" i="9"/>
  <c r="D15" i="9"/>
  <c r="H12" i="11"/>
  <c r="J19" i="9"/>
  <c r="Q27" i="9"/>
  <c r="AK27" i="11"/>
  <c r="S31" i="11"/>
  <c r="R18" i="9"/>
  <c r="AH4" i="11"/>
  <c r="Q37" i="11"/>
  <c r="E10" i="11"/>
  <c r="X28" i="9"/>
  <c r="S23" i="9"/>
  <c r="Z17" i="9"/>
  <c r="AL25" i="9" l="1"/>
  <c r="AN25" i="9"/>
  <c r="AM25" i="9"/>
  <c r="AM28" i="9"/>
  <c r="AN28" i="9"/>
  <c r="AL28" i="9"/>
  <c r="AO35" i="11"/>
  <c r="AN35" i="11"/>
  <c r="AM35" i="11"/>
  <c r="AO14" i="11"/>
  <c r="AN14" i="11"/>
  <c r="AM14" i="11"/>
  <c r="AM34" i="11"/>
  <c r="AN34" i="11"/>
  <c r="AO34" i="11"/>
  <c r="AM28" i="11"/>
  <c r="AO28" i="11"/>
  <c r="AN28" i="11"/>
  <c r="AM26" i="9"/>
  <c r="AL26" i="9"/>
  <c r="AN26" i="9"/>
  <c r="AN27" i="11"/>
  <c r="AO27" i="11"/>
  <c r="AM27" i="11"/>
  <c r="AN4" i="11"/>
  <c r="AM4" i="11"/>
  <c r="AO4" i="11"/>
  <c r="AN11" i="11"/>
  <c r="AM11" i="11"/>
  <c r="AO11" i="11"/>
  <c r="AN21" i="9"/>
  <c r="AM21" i="9"/>
  <c r="AL21" i="9"/>
  <c r="AM30" i="9"/>
  <c r="AN30" i="9"/>
  <c r="AL30" i="9"/>
  <c r="AN8" i="11"/>
  <c r="AM8" i="11"/>
  <c r="AO8" i="11"/>
  <c r="AN10" i="11"/>
  <c r="AM10" i="11"/>
  <c r="AO10" i="11"/>
  <c r="AL24" i="9"/>
  <c r="AM24" i="9"/>
  <c r="AN24" i="9"/>
  <c r="AO18" i="11"/>
  <c r="AN18" i="11"/>
  <c r="AM18" i="11"/>
  <c r="AO3" i="11"/>
  <c r="AM3" i="11"/>
  <c r="AN3" i="11"/>
  <c r="AM20" i="9"/>
  <c r="AN20" i="9"/>
  <c r="AL20" i="9"/>
  <c r="AO7" i="11"/>
  <c r="AM7" i="11"/>
  <c r="AN7" i="11"/>
  <c r="AO12" i="11"/>
  <c r="AM12" i="11"/>
  <c r="AN12" i="11"/>
  <c r="AO29" i="11"/>
  <c r="AM29" i="11"/>
  <c r="AN29" i="11"/>
  <c r="AO23" i="11"/>
  <c r="AM23" i="11"/>
  <c r="AN23" i="11"/>
  <c r="AM39" i="11"/>
  <c r="AO39" i="11"/>
  <c r="AN39" i="11"/>
  <c r="AN36" i="11"/>
  <c r="AO36" i="11"/>
  <c r="AM36" i="11"/>
  <c r="AM20" i="11"/>
  <c r="AN20" i="11"/>
  <c r="AO20" i="11"/>
  <c r="AN16" i="11"/>
  <c r="AO16" i="11"/>
  <c r="AM16" i="11"/>
  <c r="AO15" i="11"/>
  <c r="AN15" i="11"/>
  <c r="AM15" i="11"/>
  <c r="AM27" i="9"/>
  <c r="AN27" i="9"/>
  <c r="AL27" i="9"/>
  <c r="AM32" i="9"/>
  <c r="AN32" i="9"/>
  <c r="AL32" i="9"/>
  <c r="AN25" i="11"/>
  <c r="AM25" i="11"/>
  <c r="AO25" i="11"/>
  <c r="AL16" i="9"/>
  <c r="AM16" i="9"/>
  <c r="AN16" i="9"/>
  <c r="AO24" i="11"/>
  <c r="AM24" i="11"/>
  <c r="AN24" i="11"/>
  <c r="AN17" i="11"/>
  <c r="AO17" i="11"/>
  <c r="AM17" i="11"/>
  <c r="AL23" i="9"/>
  <c r="AN23" i="9"/>
  <c r="AM23" i="9"/>
  <c r="AO33" i="11"/>
  <c r="AM33" i="11"/>
  <c r="AN33" i="11"/>
  <c r="AM29" i="9"/>
  <c r="AN29" i="9"/>
  <c r="AL29" i="9"/>
  <c r="AN30" i="11"/>
  <c r="AM30" i="11"/>
  <c r="AO30" i="11"/>
  <c r="AO13" i="11"/>
  <c r="AN13" i="11"/>
  <c r="AM13" i="11"/>
  <c r="AO40" i="11"/>
  <c r="AM40" i="11"/>
  <c r="AN40" i="11"/>
  <c r="AN17" i="9"/>
  <c r="AM17" i="9"/>
  <c r="AL17" i="9"/>
  <c r="AO5" i="11"/>
  <c r="AM5" i="11"/>
  <c r="AN5" i="11"/>
  <c r="AO6" i="11"/>
  <c r="AN6" i="11"/>
  <c r="AM6" i="11"/>
  <c r="AL19" i="9"/>
  <c r="AM19" i="9"/>
  <c r="AN19" i="9"/>
  <c r="AM31" i="11"/>
  <c r="AN31" i="11"/>
  <c r="AO31" i="11"/>
  <c r="AO19" i="11"/>
  <c r="AM19" i="11"/>
  <c r="AN19" i="11"/>
  <c r="AO32" i="11"/>
  <c r="AM32" i="11"/>
  <c r="AN32" i="11"/>
  <c r="AN22" i="9"/>
  <c r="AL22" i="9"/>
  <c r="AM22" i="9"/>
  <c r="AM9" i="11"/>
  <c r="AO9" i="11"/>
  <c r="AN9" i="11"/>
  <c r="AL31" i="9"/>
  <c r="AN31" i="9"/>
  <c r="AM31" i="9"/>
  <c r="AL15" i="9"/>
  <c r="AN15" i="9"/>
  <c r="AM15" i="9"/>
  <c r="AN37" i="11"/>
  <c r="AM37" i="11"/>
  <c r="AO37" i="11"/>
  <c r="AN38" i="11"/>
  <c r="AO38" i="11"/>
  <c r="AM38" i="11"/>
  <c r="AM18" i="9"/>
  <c r="AL18" i="9"/>
  <c r="AN18" i="9"/>
  <c r="AO26" i="11"/>
  <c r="AM26" i="11"/>
  <c r="AN26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721B5F2-D11C-4CE5-9243-6EF4E119B39C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1C8F6E5-456D-4E52-8AD3-E833C3951D26}" name="WorksheetConnection_Saison!$B$2:$G$1532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SaisonB2G1532"/>
        </x15:connection>
      </ext>
    </extLst>
  </connection>
</connections>
</file>

<file path=xl/sharedStrings.xml><?xml version="1.0" encoding="utf-8"?>
<sst xmlns="http://schemas.openxmlformats.org/spreadsheetml/2006/main" count="6781" uniqueCount="189">
  <si>
    <t>rang</t>
  </si>
  <si>
    <t>Equipe</t>
  </si>
  <si>
    <t>J</t>
  </si>
  <si>
    <t>G</t>
  </si>
  <si>
    <t>N</t>
  </si>
  <si>
    <t>P</t>
  </si>
  <si>
    <t>GP</t>
  </si>
  <si>
    <t>GC</t>
  </si>
  <si>
    <t>G+/-</t>
  </si>
  <si>
    <t>PTS</t>
  </si>
  <si>
    <t>Nn</t>
  </si>
  <si>
    <t>Rang</t>
  </si>
  <si>
    <t>Clubs</t>
  </si>
  <si>
    <t>EQUIPES</t>
  </si>
  <si>
    <t>J02</t>
  </si>
  <si>
    <t>J03</t>
  </si>
  <si>
    <t>J04</t>
  </si>
  <si>
    <t>J05</t>
  </si>
  <si>
    <t>J06</t>
  </si>
  <si>
    <t>J07</t>
  </si>
  <si>
    <t>J08</t>
  </si>
  <si>
    <t>J09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</si>
  <si>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</si>
  <si>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</si>
  <si>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</si>
  <si>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</si>
  <si>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</si>
  <si>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</si>
  <si>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</si>
  <si>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</si>
  <si>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</si>
  <si>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</si>
  <si>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</si>
  <si>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</si>
  <si>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</si>
  <si>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</si>
  <si>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</si>
  <si>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</si>
  <si>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</si>
  <si>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</si>
  <si>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</si>
  <si>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</si>
  <si>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</si>
  <si>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</si>
  <si>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</si>
  <si>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</si>
  <si>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</si>
  <si>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JOURNEE 08</t>
  </si>
  <si>
    <t>JOURNEE 09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</si>
  <si>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</si>
  <si>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</si>
  <si>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</si>
  <si>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</si>
  <si>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</si>
  <si>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</si>
  <si>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</si>
  <si>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</si>
  <si>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</si>
  <si>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</si>
  <si>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</si>
  <si>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</si>
  <si>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</si>
  <si>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</si>
  <si>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</si>
  <si>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</si>
  <si>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</si>
  <si>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JOURNEE 27</t>
  </si>
  <si>
    <t>JOURNEE 28</t>
  </si>
  <si>
    <t>JOURNEE 29</t>
  </si>
  <si>
    <t>JOURNEE 30</t>
  </si>
  <si>
    <t>JOURNEE 31</t>
  </si>
  <si>
    <t>JOURNEE 32</t>
  </si>
  <si>
    <t>JOURNEE 33</t>
  </si>
  <si>
    <t>JOURNEE 34</t>
  </si>
  <si>
    <t xml:space="preserve">         </t>
  </si>
  <si>
    <t>2018/2019</t>
  </si>
  <si>
    <t>2017/2018</t>
  </si>
  <si>
    <t>2016/2017</t>
  </si>
  <si>
    <t>2015/2016</t>
  </si>
  <si>
    <t>Bayern München</t>
  </si>
  <si>
    <t>Borussia Dortmund</t>
  </si>
  <si>
    <t>RB Leipzig</t>
  </si>
  <si>
    <t>Bor. Mönchengladbach</t>
  </si>
  <si>
    <t>Bayer Leverkusen</t>
  </si>
  <si>
    <t>Eintracht Frankfurt</t>
  </si>
  <si>
    <t>VfL Wolfsburg</t>
  </si>
  <si>
    <t>1899 Hoffenheim</t>
  </si>
  <si>
    <t>Werder Bremen</t>
  </si>
  <si>
    <t>Hertha BSC</t>
  </si>
  <si>
    <t>Fortuna Düsseldorf</t>
  </si>
  <si>
    <t>1. FSV Mainz 05</t>
  </si>
  <si>
    <t>SC Freiburg</t>
  </si>
  <si>
    <t>FC Augsburg</t>
  </si>
  <si>
    <t>FC Schalke 04</t>
  </si>
  <si>
    <t>VfB Stuttgart</t>
  </si>
  <si>
    <t>Werder Brême</t>
  </si>
  <si>
    <t>Eintracht Francfort</t>
  </si>
  <si>
    <t>Hanovre 96</t>
  </si>
  <si>
    <t>Bayern Munich</t>
  </si>
  <si>
    <t>VfL Wolfsbourg</t>
  </si>
  <si>
    <t>FC Nuremberg</t>
  </si>
  <si>
    <t>Palmarès des clubs champions d'Allemagne</t>
  </si>
  <si>
    <t>Titre</t>
  </si>
  <si>
    <t>Année(s)</t>
  </si>
  <si>
    <t>1920, 1921, 1924, 1925, 1927, 1936, 1948, 1961, 1968</t>
  </si>
  <si>
    <t>1956, 1957, 1963, 1995, 1996, 2002, 2011, 2012</t>
  </si>
  <si>
    <t>Schalke 04</t>
  </si>
  <si>
    <t>1934, 1935, 1937, 1939, 1940, 1942, 1958</t>
  </si>
  <si>
    <t>Hambourg SV</t>
  </si>
  <si>
    <t>1923, 1928, 1960, 1979, 1982, 1983</t>
  </si>
  <si>
    <t>Borussia Mönchengladbach</t>
  </si>
  <si>
    <t>1970, 1971, 1975, 1976, 1977</t>
  </si>
  <si>
    <t>1950, 1952, 1984, 1992, 2007</t>
  </si>
  <si>
    <t>1965, 1988, 1993, 2004</t>
  </si>
  <si>
    <t>FC Kaiserslautern</t>
  </si>
  <si>
    <t>1951, 1953, 1991, 1998</t>
  </si>
  <si>
    <t>FC Cologne</t>
  </si>
  <si>
    <t>1962, 1964, 1978</t>
  </si>
  <si>
    <t>Greuther Fürth</t>
  </si>
  <si>
    <t>1914, 1926, 1929</t>
  </si>
  <si>
    <t>VfB Leipzig</t>
  </si>
  <si>
    <t>1903, 1906, 1913</t>
  </si>
  <si>
    <t>BFC Viktoria 89 Berlin</t>
  </si>
  <si>
    <t>1908, 1910</t>
  </si>
  <si>
    <t>Hertha Berlin</t>
  </si>
  <si>
    <t>1930, 1931</t>
  </si>
  <si>
    <t>Dresdner SC</t>
  </si>
  <si>
    <t>1943, 1944</t>
  </si>
  <si>
    <t>1938, 1954</t>
  </si>
  <si>
    <t>SV Blau-Weiß Berlin</t>
  </si>
  <si>
    <t>Freiburger FC</t>
  </si>
  <si>
    <t>Phönix Karlsruhe</t>
  </si>
  <si>
    <t>Karlsruher FV</t>
  </si>
  <si>
    <t>Holstein Kiel</t>
  </si>
  <si>
    <t>Rapid Vienne</t>
  </si>
  <si>
    <t>VfR Mannheim</t>
  </si>
  <si>
    <t>Rot-Weiss Essen</t>
  </si>
  <si>
    <t>Munich 1860</t>
  </si>
  <si>
    <t>Eintracht Brunswick</t>
  </si>
  <si>
    <t>SV Darmstadt 98</t>
  </si>
  <si>
    <t>FC Ingolstadt 04</t>
  </si>
  <si>
    <t>D</t>
  </si>
  <si>
    <t>E</t>
  </si>
  <si>
    <t>EXTERIEUR</t>
  </si>
  <si>
    <t>DATE DE DEBUT</t>
  </si>
  <si>
    <t>DATE DE FIN</t>
  </si>
  <si>
    <t xml:space="preserve"> J01 </t>
  </si>
  <si>
    <t>2014/2015</t>
  </si>
  <si>
    <t>SC Paderborn 07</t>
  </si>
  <si>
    <t>1932, 1969, 1972, 1973, 1974, 1980, 1981, 1985, 1986, 1987, 1989, 1990, 1994, 1997, 1999, 2000, 2001, 2003, 2005, 2006, 2008, 2010, 2013, 2014,2015, 2016, 2017, 2018, 2019</t>
  </si>
  <si>
    <t>JOURNEE 9</t>
  </si>
  <si>
    <t>JOURNEE 5</t>
  </si>
  <si>
    <t>JOURNEE 4</t>
  </si>
  <si>
    <t>JOURNEE 3</t>
  </si>
  <si>
    <t>JOURNEE 8</t>
  </si>
  <si>
    <t>JOURNEE 7</t>
  </si>
  <si>
    <t>JOURNEE 2</t>
  </si>
  <si>
    <t xml:space="preserve">JOURNEE 1 </t>
  </si>
  <si>
    <t>JOURNEE 6</t>
  </si>
  <si>
    <t>MATCHS ALLER SAISON 2019/2020</t>
  </si>
  <si>
    <t>MATCHS RETOUR SAISON 2019/2020</t>
  </si>
  <si>
    <t>1. FC Köln</t>
  </si>
  <si>
    <t>1. FC Union Berlin</t>
  </si>
  <si>
    <t>2019/2020</t>
  </si>
  <si>
    <t>DOMICILE</t>
  </si>
  <si>
    <t>MATCH</t>
  </si>
  <si>
    <t>Place Classement</t>
  </si>
  <si>
    <t>DOMICLIE</t>
  </si>
  <si>
    <t>JOURNEE</t>
  </si>
  <si>
    <t xml:space="preserve">Saison </t>
  </si>
  <si>
    <t>Domicile</t>
  </si>
  <si>
    <t>Exterieur</t>
  </si>
  <si>
    <t>Hannover 96</t>
  </si>
  <si>
    <t>Hamburger SV</t>
  </si>
  <si>
    <t>1. FC Nürnberg</t>
  </si>
  <si>
    <t>But E</t>
  </si>
  <si>
    <t>But D</t>
  </si>
  <si>
    <t xml:space="preserve"> But D</t>
  </si>
  <si>
    <t xml:space="preserve"> But E</t>
  </si>
  <si>
    <t>Saison</t>
  </si>
  <si>
    <t>Annee</t>
  </si>
  <si>
    <t>Domiclie</t>
  </si>
  <si>
    <t>exterieur</t>
  </si>
  <si>
    <t>score</t>
  </si>
  <si>
    <t>Gagne</t>
  </si>
  <si>
    <t>Nul</t>
  </si>
  <si>
    <t>NUL</t>
  </si>
  <si>
    <t>POURCENTAGE</t>
  </si>
  <si>
    <t>NOMBRE UN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</si>
</sst>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"/>
    <numFmt numFmtId="165" formatCode="mmmm/yyyy"/>
    <numFmt numFmtId="166" formatCode="mmmm\ yyyy"/>
    <numFmt numFmtId="167" formatCode="ddd"/>
    <numFmt numFmtId="168" formatCode="[$-F400]h:mm:ss\ AM/PM"/>
    <numFmt numFmtId="169" formatCode="d/mm/yyyy;@"/>
    <numFmt numFmtId="170" formatCode=";;;"/>
  </numFmts>
  <fonts count="1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2F2F2"/>
      </patternFill>
    </fill>
    <fill>
      <gradientFill degree="90">
        <stop position="0">
          <color theme="8"/>
        </stop>
        <stop position="1">
          <color theme="8" tint="0.59999389629810485"/>
        </stop>
      </gradient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/>
      <right style="thin">
        <color theme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10" applyNumberFormat="0" applyFill="0" applyAlignment="0" applyProtection="0"/>
  </cellStyleXfs>
  <cellXfs count="185">
    <xf numFmtId="0" fontId="0" fillId="0" borderId="0" xfId="0"/>
    <xf numFmtId="0" fontId="5" fillId="0" borderId="0" xfId="0" applyFont="1" applyFill="1"/>
    <xf numFmtId="0" fontId="5" fillId="0" borderId="0" xfId="0" applyFont="1" applyFill="1" applyAlignment="1">
      <alignment horizontal="center"/>
    </xf>
    <xf numFmtId="0" fontId="5" fillId="0" borderId="0" xfId="0" applyFont="1" applyFill="1" applyProtection="1">
      <protection locked="0"/>
    </xf>
    <xf numFmtId="0" fontId="4" fillId="5" borderId="0" xfId="0" applyFont="1" applyFill="1" applyAlignment="1">
      <alignment horizontal="center"/>
    </xf>
    <xf numFmtId="0" fontId="5" fillId="0" borderId="0" xfId="0" applyFont="1" applyFill="1" applyAlignment="1">
      <alignment horizontal="right" vertic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/>
    <xf numFmtId="0" fontId="4" fillId="5" borderId="1" xfId="0" applyFont="1" applyFill="1" applyBorder="1" applyAlignment="1">
      <alignment horizontal="center"/>
    </xf>
    <xf numFmtId="0" fontId="4" fillId="5" borderId="1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Fill="1" applyAlignment="1"/>
    <xf numFmtId="0" fontId="4" fillId="0" borderId="0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10" borderId="0" xfId="0" applyFont="1" applyFill="1" applyAlignment="1">
      <alignment horizontal="center"/>
    </xf>
    <xf numFmtId="0" fontId="5" fillId="9" borderId="1" xfId="0" applyFont="1" applyFill="1" applyBorder="1" applyAlignment="1">
      <alignment horizontal="center"/>
    </xf>
    <xf numFmtId="9" fontId="5" fillId="0" borderId="0" xfId="1" applyFont="1" applyFill="1" applyBorder="1"/>
    <xf numFmtId="0" fontId="4" fillId="0" borderId="0" xfId="0" applyFont="1" applyFill="1" applyAlignment="1">
      <alignment horizontal="center"/>
    </xf>
    <xf numFmtId="0" fontId="5" fillId="0" borderId="0" xfId="0" applyFont="1" applyFill="1" applyBorder="1" applyProtection="1">
      <protection locked="0"/>
    </xf>
    <xf numFmtId="0" fontId="8" fillId="0" borderId="0" xfId="0" applyFont="1"/>
    <xf numFmtId="0" fontId="4" fillId="5" borderId="5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/>
    <xf numFmtId="0" fontId="8" fillId="0" borderId="0" xfId="0" applyFont="1" applyFill="1" applyBorder="1" applyAlignment="1"/>
    <xf numFmtId="0" fontId="5" fillId="0" borderId="9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left"/>
    </xf>
    <xf numFmtId="0" fontId="8" fillId="0" borderId="0" xfId="0" applyFont="1" applyFill="1" applyAlignment="1">
      <alignment horizontal="center"/>
    </xf>
    <xf numFmtId="0" fontId="8" fillId="0" borderId="0" xfId="0" applyFont="1" applyFill="1" applyBorder="1"/>
    <xf numFmtId="0" fontId="5" fillId="7" borderId="8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/>
    </xf>
    <xf numFmtId="169" fontId="12" fillId="0" borderId="0" xfId="0" applyNumberFormat="1" applyFont="1" applyFill="1" applyBorder="1" applyAlignment="1"/>
    <xf numFmtId="168" fontId="12" fillId="0" borderId="0" xfId="0" applyNumberFormat="1" applyFont="1" applyFill="1" applyBorder="1" applyAlignment="1"/>
    <xf numFmtId="168" fontId="13" fillId="0" borderId="0" xfId="0" applyNumberFormat="1" applyFont="1" applyFill="1" applyAlignment="1"/>
    <xf numFmtId="0" fontId="3" fillId="6" borderId="10" xfId="2" applyFont="1" applyFill="1" applyAlignment="1">
      <alignment horizontal="center"/>
    </xf>
    <xf numFmtId="0" fontId="3" fillId="6" borderId="11" xfId="2" applyFont="1" applyFill="1" applyBorder="1" applyAlignment="1">
      <alignment horizontal="center"/>
    </xf>
    <xf numFmtId="14" fontId="8" fillId="0" borderId="0" xfId="0" applyNumberFormat="1" applyFont="1" applyFill="1" applyAlignment="1">
      <alignment horizontal="center"/>
    </xf>
    <xf numFmtId="0" fontId="3" fillId="6" borderId="12" xfId="2" applyFont="1" applyFill="1" applyBorder="1" applyAlignment="1">
      <alignment horizontal="center"/>
    </xf>
    <xf numFmtId="166" fontId="8" fillId="0" borderId="0" xfId="0" applyNumberFormat="1" applyFont="1" applyFill="1" applyBorder="1" applyAlignment="1"/>
    <xf numFmtId="165" fontId="8" fillId="0" borderId="0" xfId="0" applyNumberFormat="1" applyFont="1" applyFill="1" applyAlignment="1">
      <alignment horizontal="center"/>
    </xf>
    <xf numFmtId="167" fontId="8" fillId="0" borderId="0" xfId="0" applyNumberFormat="1" applyFont="1" applyFill="1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3" fillId="0" borderId="0" xfId="0" applyFont="1"/>
    <xf numFmtId="0" fontId="8" fillId="0" borderId="15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1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0" xfId="0" applyFont="1" applyFill="1" applyBorder="1" applyAlignment="1" applyProtection="1">
      <alignment horizontal="center"/>
      <protection locked="0"/>
    </xf>
    <xf numFmtId="9" fontId="5" fillId="0" borderId="0" xfId="0" applyNumberFormat="1" applyFont="1" applyFill="1" applyBorder="1"/>
    <xf numFmtId="0" fontId="4" fillId="2" borderId="1" xfId="0" applyFont="1" applyFill="1" applyBorder="1" applyAlignment="1" applyProtection="1">
      <alignment horizontal="center"/>
      <protection hidden="1"/>
    </xf>
    <xf numFmtId="0" fontId="4" fillId="5" borderId="1" xfId="0" applyFont="1" applyFill="1" applyBorder="1" applyAlignment="1" applyProtection="1">
      <alignment horizontal="center"/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4" fillId="5" borderId="0" xfId="0" applyFont="1" applyFill="1" applyAlignment="1" applyProtection="1">
      <alignment horizontal="center"/>
      <protection hidden="1"/>
    </xf>
    <xf numFmtId="0" fontId="5" fillId="0" borderId="0" xfId="0" applyFont="1" applyFill="1" applyAlignment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4" fillId="0" borderId="0" xfId="0" applyFont="1" applyFill="1" applyAlignment="1" applyProtection="1">
      <alignment horizontal="center"/>
      <protection hidden="1"/>
    </xf>
    <xf numFmtId="0" fontId="8" fillId="0" borderId="1" xfId="0" applyFont="1" applyFill="1" applyBorder="1" applyAlignment="1" applyProtection="1">
      <alignment horizontal="center"/>
      <protection hidden="1"/>
    </xf>
    <xf numFmtId="0" fontId="8" fillId="0" borderId="0" xfId="0" applyFont="1" applyAlignment="1" applyProtection="1">
      <alignment horizontal="center"/>
      <protection hidden="1"/>
    </xf>
    <xf numFmtId="0" fontId="8" fillId="0" borderId="1" xfId="0" applyFont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protection hidden="1"/>
    </xf>
    <xf numFmtId="0" fontId="7" fillId="0" borderId="0" xfId="0" applyFont="1" applyFill="1" applyAlignment="1" applyProtection="1">
      <protection hidden="1"/>
    </xf>
    <xf numFmtId="0" fontId="4" fillId="5" borderId="6" xfId="0" applyFont="1" applyFill="1" applyBorder="1" applyAlignment="1" applyProtection="1">
      <alignment horizontal="center"/>
      <protection hidden="1"/>
    </xf>
    <xf numFmtId="0" fontId="4" fillId="5" borderId="9" xfId="0" applyFont="1" applyFill="1" applyBorder="1" applyAlignment="1" applyProtection="1">
      <alignment horizontal="center"/>
      <protection hidden="1"/>
    </xf>
    <xf numFmtId="0" fontId="5" fillId="0" borderId="2" xfId="0" applyFont="1" applyFill="1" applyBorder="1" applyAlignment="1" applyProtection="1">
      <alignment horizontal="center"/>
      <protection hidden="1"/>
    </xf>
    <xf numFmtId="0" fontId="14" fillId="5" borderId="1" xfId="0" applyFont="1" applyFill="1" applyBorder="1" applyAlignment="1" applyProtection="1">
      <alignment horizontal="center" vertical="center"/>
      <protection hidden="1"/>
    </xf>
    <xf numFmtId="0" fontId="4" fillId="5" borderId="1" xfId="0" applyFont="1" applyFill="1" applyBorder="1" applyAlignment="1" applyProtection="1">
      <alignment horizontal="center" vertical="center" textRotation="90"/>
      <protection hidden="1"/>
    </xf>
    <xf numFmtId="0" fontId="8" fillId="0" borderId="0" xfId="0" applyFont="1" applyProtection="1">
      <protection hidden="1"/>
    </xf>
    <xf numFmtId="0" fontId="4" fillId="8" borderId="1" xfId="0" applyFont="1" applyFill="1" applyBorder="1" applyAlignment="1" applyProtection="1">
      <alignment horizontal="center"/>
      <protection hidden="1"/>
    </xf>
    <xf numFmtId="0" fontId="8" fillId="4" borderId="1" xfId="0" applyFont="1" applyFill="1" applyBorder="1" applyAlignment="1" applyProtection="1">
      <alignment horizontal="center"/>
      <protection hidden="1"/>
    </xf>
    <xf numFmtId="0" fontId="8" fillId="3" borderId="1" xfId="0" applyFont="1" applyFill="1" applyBorder="1" applyAlignment="1" applyProtection="1">
      <alignment horizontal="center"/>
      <protection hidden="1"/>
    </xf>
    <xf numFmtId="0" fontId="8" fillId="2" borderId="1" xfId="0" applyFont="1" applyFill="1" applyBorder="1" applyAlignment="1" applyProtection="1">
      <alignment horizontal="center"/>
      <protection hidden="1"/>
    </xf>
    <xf numFmtId="0" fontId="4" fillId="5" borderId="5" xfId="0" applyFont="1" applyFill="1" applyBorder="1" applyAlignment="1" applyProtection="1">
      <alignment horizontal="center"/>
      <protection hidden="1"/>
    </xf>
    <xf numFmtId="0" fontId="5" fillId="4" borderId="5" xfId="0" applyFont="1" applyFill="1" applyBorder="1" applyAlignment="1" applyProtection="1">
      <alignment horizontal="center"/>
      <protection hidden="1"/>
    </xf>
    <xf numFmtId="0" fontId="5" fillId="3" borderId="5" xfId="0" applyFont="1" applyFill="1" applyBorder="1" applyAlignment="1" applyProtection="1">
      <alignment horizontal="center"/>
      <protection hidden="1"/>
    </xf>
    <xf numFmtId="0" fontId="5" fillId="2" borderId="5" xfId="0" applyFont="1" applyFill="1" applyBorder="1" applyAlignment="1" applyProtection="1">
      <alignment horizontal="center"/>
      <protection hidden="1"/>
    </xf>
    <xf numFmtId="0" fontId="4" fillId="0" borderId="3" xfId="0" applyFont="1" applyFill="1" applyBorder="1" applyAlignment="1" applyProtection="1">
      <alignment horizontal="center"/>
      <protection hidden="1"/>
    </xf>
    <xf numFmtId="0" fontId="4" fillId="5" borderId="0" xfId="0" applyFont="1" applyFill="1" applyAlignment="1" applyProtection="1">
      <alignment horizontal="center"/>
      <protection locked="0"/>
    </xf>
    <xf numFmtId="0" fontId="4" fillId="5" borderId="17" xfId="0" applyFont="1" applyFill="1" applyBorder="1" applyAlignment="1" applyProtection="1">
      <alignment horizontal="center"/>
      <protection hidden="1"/>
    </xf>
    <xf numFmtId="0" fontId="4" fillId="5" borderId="18" xfId="0" applyFont="1" applyFill="1" applyBorder="1" applyAlignment="1" applyProtection="1">
      <alignment horizontal="center"/>
      <protection hidden="1"/>
    </xf>
    <xf numFmtId="0" fontId="4" fillId="5" borderId="16" xfId="0" applyFont="1" applyFill="1" applyBorder="1" applyAlignment="1" applyProtection="1">
      <alignment horizontal="center"/>
      <protection hidden="1"/>
    </xf>
    <xf numFmtId="0" fontId="5" fillId="0" borderId="1" xfId="0" applyFont="1" applyBorder="1" applyAlignment="1" applyProtection="1">
      <alignment horizontal="center"/>
      <protection hidden="1"/>
    </xf>
    <xf numFmtId="170" fontId="10" fillId="0" borderId="0" xfId="0" applyNumberFormat="1" applyFont="1" applyProtection="1">
      <protection hidden="1"/>
    </xf>
    <xf numFmtId="0" fontId="8" fillId="0" borderId="0" xfId="0" applyFont="1" applyFill="1" applyAlignment="1" applyProtection="1">
      <alignment horizontal="center"/>
      <protection hidden="1"/>
    </xf>
    <xf numFmtId="0" fontId="4" fillId="0" borderId="0" xfId="0" applyFont="1" applyFill="1" applyAlignment="1" applyProtection="1">
      <protection hidden="1"/>
    </xf>
    <xf numFmtId="170" fontId="10" fillId="0" borderId="0" xfId="0" applyNumberFormat="1" applyFont="1" applyAlignment="1" applyProtection="1">
      <alignment horizontal="center"/>
      <protection hidden="1"/>
    </xf>
    <xf numFmtId="0" fontId="8" fillId="0" borderId="6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8" fillId="0" borderId="7" xfId="0" applyFont="1" applyBorder="1" applyAlignment="1" applyProtection="1">
      <alignment horizontal="center"/>
      <protection hidden="1"/>
    </xf>
    <xf numFmtId="0" fontId="5" fillId="0" borderId="1" xfId="0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protection hidden="1"/>
    </xf>
    <xf numFmtId="0" fontId="8" fillId="0" borderId="0" xfId="0" applyFont="1" applyFill="1" applyBorder="1" applyProtection="1">
      <protection hidden="1"/>
    </xf>
    <xf numFmtId="0" fontId="8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Fill="1" applyBorder="1" applyAlignme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11" fillId="0" borderId="0" xfId="0" applyFont="1" applyAlignment="1" applyProtection="1">
      <alignment horizontal="center"/>
      <protection hidden="1"/>
    </xf>
    <xf numFmtId="0" fontId="8" fillId="0" borderId="19" xfId="0" applyFont="1" applyBorder="1" applyAlignment="1" applyProtection="1">
      <alignment horizontal="center"/>
      <protection hidden="1"/>
    </xf>
    <xf numFmtId="0" fontId="5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  <protection locked="0"/>
    </xf>
    <xf numFmtId="0" fontId="8" fillId="0" borderId="6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8" fillId="0" borderId="7" xfId="0" applyFont="1" applyBorder="1" applyAlignment="1" applyProtection="1">
      <alignment horizontal="center"/>
      <protection hidden="1"/>
    </xf>
    <xf numFmtId="0" fontId="8" fillId="0" borderId="9" xfId="0" applyFont="1" applyBorder="1" applyAlignment="1" applyProtection="1">
      <alignment horizontal="center"/>
      <protection hidden="1"/>
    </xf>
    <xf numFmtId="0" fontId="8" fillId="0" borderId="7" xfId="0" applyFont="1" applyBorder="1" applyAlignment="1" applyProtection="1">
      <alignment horizontal="center"/>
      <protection hidden="1"/>
    </xf>
    <xf numFmtId="0" fontId="4" fillId="0" borderId="0" xfId="0" applyFont="1" applyAlignment="1" applyProtection="1">
      <alignment horizontal="center"/>
      <protection hidden="1"/>
    </xf>
    <xf numFmtId="0" fontId="4" fillId="0" borderId="0" xfId="0" applyFont="1" applyProtection="1">
      <protection hidden="1"/>
    </xf>
    <xf numFmtId="0" fontId="8" fillId="0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8" fillId="0" borderId="0" xfId="0" applyFont="1" applyAlignment="1"/>
    <xf numFmtId="0" fontId="8" fillId="0" borderId="0" xfId="0" pivotButton="1" applyFont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9" xfId="0" applyFont="1" applyBorder="1" applyAlignment="1">
      <alignment horizontal="left"/>
    </xf>
    <xf numFmtId="0" fontId="8" fillId="0" borderId="9" xfId="0" applyFont="1" applyBorder="1" applyAlignment="1"/>
    <xf numFmtId="0" fontId="8" fillId="0" borderId="7" xfId="0" applyFont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 applyProtection="1">
      <alignment horizontal="center"/>
      <protection hidden="1"/>
    </xf>
    <xf numFmtId="0" fontId="8" fillId="0" borderId="5" xfId="0" applyFont="1" applyBorder="1" applyAlignment="1" applyProtection="1">
      <alignment horizontal="center"/>
      <protection hidden="1"/>
    </xf>
    <xf numFmtId="10" fontId="5" fillId="0" borderId="0" xfId="0" applyNumberFormat="1" applyFont="1" applyAlignment="1"/>
    <xf numFmtId="10" fontId="4" fillId="0" borderId="0" xfId="0" applyNumberFormat="1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1" fontId="5" fillId="0" borderId="0" xfId="0" applyNumberFormat="1" applyFont="1" applyAlignment="1"/>
    <xf numFmtId="0" fontId="5" fillId="0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0" fontId="5" fillId="0" borderId="0" xfId="0" applyNumberFormat="1" applyFont="1" applyBorder="1" applyAlignment="1"/>
    <xf numFmtId="0" fontId="15" fillId="0" borderId="0" xfId="0" applyFont="1" applyBorder="1" applyAlignment="1">
      <alignment vertical="center"/>
    </xf>
    <xf numFmtId="10" fontId="5" fillId="0" borderId="1" xfId="0" applyNumberFormat="1" applyFont="1" applyFill="1" applyBorder="1" applyAlignment="1">
      <alignment horizontal="center"/>
    </xf>
    <xf numFmtId="0" fontId="5" fillId="0" borderId="0" xfId="0" applyFont="1" applyBorder="1" applyAlignment="1"/>
    <xf numFmtId="0" fontId="4" fillId="5" borderId="0" xfId="0" applyFont="1" applyFill="1" applyBorder="1" applyAlignment="1">
      <alignment horizontal="center"/>
    </xf>
    <xf numFmtId="0" fontId="3" fillId="6" borderId="10" xfId="2" applyFont="1" applyFill="1" applyAlignment="1">
      <alignment horizontal="center"/>
    </xf>
    <xf numFmtId="0" fontId="5" fillId="7" borderId="8" xfId="0" applyFont="1" applyFill="1" applyBorder="1" applyAlignment="1">
      <alignment horizontal="center"/>
    </xf>
    <xf numFmtId="169" fontId="3" fillId="6" borderId="10" xfId="2" applyNumberFormat="1" applyFont="1" applyFill="1" applyAlignment="1">
      <alignment horizontal="center"/>
    </xf>
    <xf numFmtId="14" fontId="3" fillId="6" borderId="10" xfId="2" applyNumberFormat="1" applyFont="1" applyFill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5" borderId="0" xfId="0" applyFont="1" applyFill="1" applyAlignment="1" applyProtection="1">
      <alignment horizontal="center"/>
      <protection hidden="1"/>
    </xf>
    <xf numFmtId="0" fontId="4" fillId="2" borderId="6" xfId="0" applyFont="1" applyFill="1" applyBorder="1" applyAlignment="1" applyProtection="1">
      <alignment horizontal="center"/>
      <protection hidden="1"/>
    </xf>
    <xf numFmtId="0" fontId="4" fillId="2" borderId="9" xfId="0" applyFont="1" applyFill="1" applyBorder="1" applyAlignment="1" applyProtection="1">
      <alignment horizontal="center"/>
      <protection hidden="1"/>
    </xf>
    <xf numFmtId="0" fontId="4" fillId="2" borderId="7" xfId="0" applyFont="1" applyFill="1" applyBorder="1" applyAlignment="1" applyProtection="1">
      <alignment horizontal="center"/>
      <protection hidden="1"/>
    </xf>
    <xf numFmtId="0" fontId="4" fillId="5" borderId="9" xfId="0" applyFont="1" applyFill="1" applyBorder="1" applyAlignment="1" applyProtection="1">
      <alignment horizontal="center"/>
      <protection hidden="1"/>
    </xf>
    <xf numFmtId="0" fontId="4" fillId="5" borderId="7" xfId="0" applyFont="1" applyFill="1" applyBorder="1" applyAlignment="1" applyProtection="1">
      <alignment horizontal="center"/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8" fillId="0" borderId="16" xfId="0" applyFont="1" applyBorder="1" applyAlignment="1" applyProtection="1">
      <alignment horizontal="center"/>
      <protection hidden="1"/>
    </xf>
    <xf numFmtId="0" fontId="8" fillId="0" borderId="21" xfId="0" applyFont="1" applyBorder="1" applyAlignment="1" applyProtection="1">
      <alignment horizontal="center"/>
      <protection hidden="1"/>
    </xf>
    <xf numFmtId="0" fontId="8" fillId="0" borderId="22" xfId="0" applyFont="1" applyBorder="1" applyAlignment="1" applyProtection="1">
      <alignment horizontal="center"/>
      <protection hidden="1"/>
    </xf>
    <xf numFmtId="0" fontId="9" fillId="0" borderId="13" xfId="0" applyFont="1" applyBorder="1" applyAlignment="1" applyProtection="1">
      <alignment horizontal="center" vertical="center" textRotation="90"/>
      <protection hidden="1"/>
    </xf>
    <xf numFmtId="0" fontId="9" fillId="0" borderId="3" xfId="0" applyFont="1" applyBorder="1" applyAlignment="1" applyProtection="1">
      <alignment horizontal="center" vertical="center" textRotation="90"/>
      <protection hidden="1"/>
    </xf>
    <xf numFmtId="0" fontId="4" fillId="5" borderId="0" xfId="0" applyFont="1" applyFill="1" applyAlignment="1" applyProtection="1">
      <alignment horizontal="center"/>
      <protection hidden="1"/>
    </xf>
    <xf numFmtId="0" fontId="4" fillId="5" borderId="20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15" fillId="0" borderId="5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5" fillId="0" borderId="5" xfId="0" applyNumberFormat="1" applyFont="1" applyBorder="1" applyAlignment="1">
      <alignment horizontal="center" vertical="center"/>
    </xf>
    <xf numFmtId="0" fontId="15" fillId="0" borderId="8" xfId="0" applyNumberFormat="1" applyFont="1" applyBorder="1" applyAlignment="1">
      <alignment horizontal="center" vertical="center"/>
    </xf>
    <xf numFmtId="1" fontId="17" fillId="0" borderId="0" xfId="0" applyNumberFormat="1" applyFont="1" applyBorder="1" applyAlignment="1">
      <alignment horizontal="center" vertical="center"/>
    </xf>
    <xf numFmtId="10" fontId="5" fillId="0" borderId="0" xfId="0" applyNumberFormat="1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" fontId="16" fillId="0" borderId="0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5" fillId="0" borderId="1" xfId="0" applyFont="1" applyFill="1" applyBorder="1" applyAlignment="1">
      <alignment horizontal="center" vertical="center"/>
    </xf>
  </cellXfs>
  <cellStyles count="3">
    <cellStyle name="Normal" xfId="0" builtinId="0"/>
    <cellStyle name="Pourcentage" xfId="1" builtinId="5"/>
    <cellStyle name="Total" xfId="2" builtinId="25"/>
  </cellStyles>
  <dxfs count="10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 tint="-0.24994659260841701"/>
        </patternFill>
      </fill>
    </dxf>
    <dxf>
      <font>
        <b/>
        <i val="0"/>
        <color theme="0"/>
      </font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25027554941212288"/>
          <c:y val="5.5991063063991167E-2"/>
          <c:w val="0.72882580899958038"/>
          <c:h val="0.88801787387201769"/>
        </c:manualLayout>
      </c:layout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'Resultat Journée'!$Y$40:$Y$42</c:f>
              <c:numCache>
                <c:formatCode>0.00%</c:formatCode>
                <c:ptCount val="3"/>
                <c:pt idx="0">
                  <c:v>0.5</c:v>
                </c:pt>
                <c:pt idx="1">
                  <c:v>0.25</c:v>
                </c:pt>
                <c:pt idx="2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095-4117-8180-1743DAF8E65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31"/>
        <c:shape val="box"/>
        <c:axId val="756243183"/>
        <c:axId val="841310287"/>
        <c:axId val="0"/>
      </c:bar3DChart>
      <c:catAx>
        <c:axId val="756243183"/>
        <c:scaling>
          <c:orientation val="minMax"/>
        </c:scaling>
        <c:delete val="1"/>
        <c:axPos val="b"/>
        <c:majorTickMark val="none"/>
        <c:minorTickMark val="none"/>
        <c:tickLblPos val="nextTo"/>
        <c:crossAx val="841310287"/>
        <c:crosses val="autoZero"/>
        <c:auto val="1"/>
        <c:lblAlgn val="ctr"/>
        <c:lblOffset val="100"/>
        <c:noMultiLvlLbl val="0"/>
      </c:catAx>
      <c:valAx>
        <c:axId val="8413102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624318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Scroll" dx="22" fmlaLink="$G$3" max="34" min="1" page="1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Resultat Journ&#233;e'!A1"/><Relationship Id="rId2" Type="http://schemas.openxmlformats.org/officeDocument/2006/relationships/hyperlink" Target="#'DERNIER RESULTS'!A1"/><Relationship Id="rId1" Type="http://schemas.openxmlformats.org/officeDocument/2006/relationships/hyperlink" Target="#STATISTIQUES!A1"/><Relationship Id="rId5" Type="http://schemas.openxmlformats.org/officeDocument/2006/relationships/hyperlink" Target="#' GRIS FIXTURE'!A1"/><Relationship Id="rId4" Type="http://schemas.openxmlformats.org/officeDocument/2006/relationships/hyperlink" Target="#'LE CALENDRIER 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BUNDESLIGA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BUNDESLIGA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BUNDESLIGA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BUNDESLIGA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chart" Target="../charts/chart1.xml"/><Relationship Id="rId1" Type="http://schemas.openxmlformats.org/officeDocument/2006/relationships/hyperlink" Target="#BUNDESLIGA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63500</xdr:colOff>
      <xdr:row>1</xdr:row>
      <xdr:rowOff>142875</xdr:rowOff>
    </xdr:from>
    <xdr:to>
      <xdr:col>31</xdr:col>
      <xdr:colOff>55564</xdr:colOff>
      <xdr:row>25</xdr:row>
      <xdr:rowOff>79375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45250" y="341313"/>
          <a:ext cx="7612064" cy="5159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38</xdr:col>
      <xdr:colOff>542925</xdr:colOff>
      <xdr:row>0</xdr:row>
      <xdr:rowOff>28575</xdr:rowOff>
    </xdr:from>
    <xdr:to>
      <xdr:col>38</xdr:col>
      <xdr:colOff>1657350</xdr:colOff>
      <xdr:row>0</xdr:row>
      <xdr:rowOff>266700</xdr:rowOff>
    </xdr:to>
    <xdr:sp macro="[0]!Feuil2.Ret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829425" y="28575"/>
          <a:ext cx="11144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RETOUR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19050</xdr:colOff>
          <xdr:row>0</xdr:row>
          <xdr:rowOff>38100</xdr:rowOff>
        </xdr:from>
        <xdr:to>
          <xdr:col>38</xdr:col>
          <xdr:colOff>257175</xdr:colOff>
          <xdr:row>1</xdr:row>
          <xdr:rowOff>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48</xdr:col>
      <xdr:colOff>25977</xdr:colOff>
      <xdr:row>2</xdr:row>
      <xdr:rowOff>8659</xdr:rowOff>
    </xdr:from>
    <xdr:to>
      <xdr:col>48</xdr:col>
      <xdr:colOff>1324840</xdr:colOff>
      <xdr:row>5</xdr:row>
      <xdr:rowOff>23182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4486659" y="502227"/>
          <a:ext cx="1298863" cy="61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Calendrier</a:t>
          </a:r>
        </a:p>
      </xdr:txBody>
    </xdr:sp>
    <xdr:clientData/>
  </xdr:twoCellAnchor>
  <xdr:twoCellAnchor>
    <xdr:from>
      <xdr:col>48</xdr:col>
      <xdr:colOff>25977</xdr:colOff>
      <xdr:row>6</xdr:row>
      <xdr:rowOff>0</xdr:rowOff>
    </xdr:from>
    <xdr:to>
      <xdr:col>48</xdr:col>
      <xdr:colOff>1324840</xdr:colOff>
      <xdr:row>9</xdr:row>
      <xdr:rowOff>14523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4486659" y="1290205"/>
          <a:ext cx="1298863" cy="61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Gris Fixture</a:t>
          </a:r>
        </a:p>
      </xdr:txBody>
    </xdr:sp>
    <xdr:clientData/>
  </xdr:twoCellAnchor>
  <xdr:twoCellAnchor>
    <xdr:from>
      <xdr:col>48</xdr:col>
      <xdr:colOff>25977</xdr:colOff>
      <xdr:row>10</xdr:row>
      <xdr:rowOff>0</xdr:rowOff>
    </xdr:from>
    <xdr:to>
      <xdr:col>48</xdr:col>
      <xdr:colOff>1324840</xdr:colOff>
      <xdr:row>13</xdr:row>
      <xdr:rowOff>14523</xdr:rowOff>
    </xdr:to>
    <xdr:sp macro="" textlink="">
      <xdr:nvSpPr>
        <xdr:cNvPr id="12" name="Rectangle : coins arrondis 1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4486659" y="2086841"/>
          <a:ext cx="1298863" cy="612000"/>
        </a:xfrm>
        <a:prstGeom prst="roundRec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ysClr val="windowText" lastClr="000000"/>
              </a:solidFill>
            </a:rPr>
            <a:t>Statisiques</a:t>
          </a:r>
        </a:p>
      </xdr:txBody>
    </xdr:sp>
    <xdr:clientData/>
  </xdr:twoCellAnchor>
  <xdr:twoCellAnchor>
    <xdr:from>
      <xdr:col>48</xdr:col>
      <xdr:colOff>25977</xdr:colOff>
      <xdr:row>14</xdr:row>
      <xdr:rowOff>8658</xdr:rowOff>
    </xdr:from>
    <xdr:to>
      <xdr:col>48</xdr:col>
      <xdr:colOff>1324840</xdr:colOff>
      <xdr:row>17</xdr:row>
      <xdr:rowOff>23180</xdr:rowOff>
    </xdr:to>
    <xdr:sp macro="" textlink="">
      <xdr:nvSpPr>
        <xdr:cNvPr id="17" name="Rectangle : coins arrondis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14486659" y="2892135"/>
          <a:ext cx="1298863" cy="6120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ysClr val="windowText" lastClr="000000"/>
              </a:solidFill>
            </a:rPr>
            <a:t>Results</a:t>
          </a:r>
        </a:p>
      </xdr:txBody>
    </xdr:sp>
    <xdr:clientData/>
  </xdr:twoCellAnchor>
  <xdr:twoCellAnchor>
    <xdr:from>
      <xdr:col>48</xdr:col>
      <xdr:colOff>25977</xdr:colOff>
      <xdr:row>17</xdr:row>
      <xdr:rowOff>181840</xdr:rowOff>
    </xdr:from>
    <xdr:to>
      <xdr:col>48</xdr:col>
      <xdr:colOff>1324840</xdr:colOff>
      <xdr:row>20</xdr:row>
      <xdr:rowOff>196363</xdr:rowOff>
    </xdr:to>
    <xdr:sp macro="" textlink="">
      <xdr:nvSpPr>
        <xdr:cNvPr id="19" name="Rectangle : coins arrondis 1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14486659" y="3662795"/>
          <a:ext cx="1298863" cy="612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ysClr val="windowText" lastClr="000000"/>
              </a:solidFill>
            </a:rPr>
            <a:t>Histoire</a:t>
          </a:r>
        </a:p>
      </xdr:txBody>
    </xdr:sp>
    <xdr:clientData/>
  </xdr:twoCellAnchor>
  <xdr:twoCellAnchor>
    <xdr:from>
      <xdr:col>48</xdr:col>
      <xdr:colOff>25977</xdr:colOff>
      <xdr:row>1</xdr:row>
      <xdr:rowOff>190499</xdr:rowOff>
    </xdr:from>
    <xdr:to>
      <xdr:col>48</xdr:col>
      <xdr:colOff>1324840</xdr:colOff>
      <xdr:row>5</xdr:row>
      <xdr:rowOff>5863</xdr:rowOff>
    </xdr:to>
    <xdr:sp macro="" textlink="">
      <xdr:nvSpPr>
        <xdr:cNvPr id="20" name="Rectangle : coins arrondis 1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14486659" y="484908"/>
          <a:ext cx="1298863" cy="6120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ysClr val="windowText" lastClr="000000"/>
              </a:solidFill>
            </a:rPr>
            <a:t>Calendrier</a:t>
          </a:r>
        </a:p>
      </xdr:txBody>
    </xdr:sp>
    <xdr:clientData/>
  </xdr:twoCellAnchor>
  <xdr:twoCellAnchor>
    <xdr:from>
      <xdr:col>48</xdr:col>
      <xdr:colOff>25977</xdr:colOff>
      <xdr:row>5</xdr:row>
      <xdr:rowOff>181841</xdr:rowOff>
    </xdr:from>
    <xdr:to>
      <xdr:col>48</xdr:col>
      <xdr:colOff>1324840</xdr:colOff>
      <xdr:row>8</xdr:row>
      <xdr:rowOff>196363</xdr:rowOff>
    </xdr:to>
    <xdr:sp macro="" textlink="">
      <xdr:nvSpPr>
        <xdr:cNvPr id="21" name="Rectangle : coins arrondis 2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4486659" y="1272886"/>
          <a:ext cx="1298863" cy="6120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ysClr val="windowText" lastClr="000000"/>
              </a:solidFill>
            </a:rPr>
            <a:t>Grid Fixture</a:t>
          </a:r>
        </a:p>
      </xdr:txBody>
    </xdr:sp>
    <xdr:clientData/>
  </xdr:twoCellAnchor>
  <xdr:twoCellAnchor>
    <xdr:from>
      <xdr:col>5</xdr:col>
      <xdr:colOff>25978</xdr:colOff>
      <xdr:row>376</xdr:row>
      <xdr:rowOff>0</xdr:rowOff>
    </xdr:from>
    <xdr:to>
      <xdr:col>8</xdr:col>
      <xdr:colOff>1653887</xdr:colOff>
      <xdr:row>377</xdr:row>
      <xdr:rowOff>17318</xdr:rowOff>
    </xdr:to>
    <xdr:sp macro="[0]!Module11.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58637" y="74979068"/>
          <a:ext cx="4061114" cy="21647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1447800</xdr:colOff>
      <xdr:row>0</xdr:row>
      <xdr:rowOff>190500</xdr:rowOff>
    </xdr:from>
    <xdr:to>
      <xdr:col>19</xdr:col>
      <xdr:colOff>266700</xdr:colOff>
      <xdr:row>2</xdr:row>
      <xdr:rowOff>119775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544925" y="190500"/>
          <a:ext cx="866775" cy="396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/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39688</xdr:colOff>
      <xdr:row>2</xdr:row>
      <xdr:rowOff>31750</xdr:rowOff>
    </xdr:from>
    <xdr:to>
      <xdr:col>23</xdr:col>
      <xdr:colOff>23812</xdr:colOff>
      <xdr:row>2</xdr:row>
      <xdr:rowOff>427750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3049251" y="428625"/>
          <a:ext cx="746124" cy="396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272143</xdr:colOff>
      <xdr:row>0</xdr:row>
      <xdr:rowOff>190501</xdr:rowOff>
    </xdr:from>
    <xdr:to>
      <xdr:col>39</xdr:col>
      <xdr:colOff>344714</xdr:colOff>
      <xdr:row>2</xdr:row>
      <xdr:rowOff>187358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5729857" y="190501"/>
          <a:ext cx="834571" cy="396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/>
            <a:t>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85725</xdr:colOff>
      <xdr:row>2</xdr:row>
      <xdr:rowOff>28574</xdr:rowOff>
    </xdr:from>
    <xdr:to>
      <xdr:col>43</xdr:col>
      <xdr:colOff>104774</xdr:colOff>
      <xdr:row>4</xdr:row>
      <xdr:rowOff>24524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4697075" y="542924"/>
          <a:ext cx="781049" cy="396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/>
            <a:t>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2</xdr:row>
          <xdr:rowOff>0</xdr:rowOff>
        </xdr:from>
        <xdr:to>
          <xdr:col>7</xdr:col>
          <xdr:colOff>342900</xdr:colOff>
          <xdr:row>12</xdr:row>
          <xdr:rowOff>9525</xdr:rowOff>
        </xdr:to>
        <xdr:sp macro="" textlink="">
          <xdr:nvSpPr>
            <xdr:cNvPr id="8194" name="Scroll Bar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8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27</xdr:col>
      <xdr:colOff>809625</xdr:colOff>
      <xdr:row>35</xdr:row>
      <xdr:rowOff>19050</xdr:rowOff>
    </xdr:from>
    <xdr:to>
      <xdr:col>27</xdr:col>
      <xdr:colOff>1628775</xdr:colOff>
      <xdr:row>37</xdr:row>
      <xdr:rowOff>9525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6487775" y="7019925"/>
          <a:ext cx="819150" cy="3905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/>
            <a:t>Menu</a:t>
          </a:r>
        </a:p>
      </xdr:txBody>
    </xdr:sp>
    <xdr:clientData/>
  </xdr:twoCellAnchor>
  <xdr:twoCellAnchor>
    <xdr:from>
      <xdr:col>0</xdr:col>
      <xdr:colOff>390525</xdr:colOff>
      <xdr:row>13</xdr:row>
      <xdr:rowOff>19050</xdr:rowOff>
    </xdr:from>
    <xdr:to>
      <xdr:col>6</xdr:col>
      <xdr:colOff>219075</xdr:colOff>
      <xdr:row>26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27</xdr:col>
      <xdr:colOff>1285875</xdr:colOff>
      <xdr:row>0</xdr:row>
      <xdr:rowOff>19050</xdr:rowOff>
    </xdr:from>
    <xdr:to>
      <xdr:col>28</xdr:col>
      <xdr:colOff>114300</xdr:colOff>
      <xdr:row>1</xdr:row>
      <xdr:rowOff>190500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16964025" y="19050"/>
          <a:ext cx="5429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 editAs="oneCell">
    <xdr:from>
      <xdr:col>26</xdr:col>
      <xdr:colOff>190500</xdr:colOff>
      <xdr:row>3</xdr:row>
      <xdr:rowOff>0</xdr:rowOff>
    </xdr:from>
    <xdr:to>
      <xdr:col>28</xdr:col>
      <xdr:colOff>19050</xdr:colOff>
      <xdr:row>7</xdr:row>
      <xdr:rowOff>180975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68625" y="600075"/>
          <a:ext cx="1743075" cy="981075"/>
        </a:xfrm>
        <a:prstGeom prst="rect">
          <a:avLst/>
        </a:prstGeom>
      </xdr:spPr>
    </xdr:pic>
    <xdr:clientData/>
  </xdr:twoCellAnchor>
  <xdr:twoCellAnchor>
    <xdr:from>
      <xdr:col>28</xdr:col>
      <xdr:colOff>95250</xdr:colOff>
      <xdr:row>1</xdr:row>
      <xdr:rowOff>190499</xdr:rowOff>
    </xdr:from>
    <xdr:to>
      <xdr:col>47</xdr:col>
      <xdr:colOff>276225</xdr:colOff>
      <xdr:row>5</xdr:row>
      <xdr:rowOff>180974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 txBox="1"/>
      </xdr:nvSpPr>
      <xdr:spPr>
        <a:xfrm>
          <a:off x="17487900" y="390524"/>
          <a:ext cx="279082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20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Choix des scores général ou par équipe </a:t>
          </a:r>
        </a:p>
        <a:p>
          <a:endParaRPr lang="fr-BE" sz="1100"/>
        </a:p>
      </xdr:txBody>
    </xdr:sp>
    <xdr:clientData/>
  </xdr:twoCellAnchor>
  <xdr:twoCellAnchor>
    <xdr:from>
      <xdr:col>27</xdr:col>
      <xdr:colOff>390525</xdr:colOff>
      <xdr:row>8</xdr:row>
      <xdr:rowOff>161926</xdr:rowOff>
    </xdr:from>
    <xdr:to>
      <xdr:col>46</xdr:col>
      <xdr:colOff>285750</xdr:colOff>
      <xdr:row>12</xdr:row>
      <xdr:rowOff>66676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 txBox="1"/>
      </xdr:nvSpPr>
      <xdr:spPr>
        <a:xfrm>
          <a:off x="16068675" y="1762126"/>
          <a:ext cx="345757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000" b="1">
              <a:solidFill>
                <a:srgbClr val="FF0000"/>
              </a:solidFill>
            </a:rPr>
            <a:t>vous connais comment faire ?</a:t>
          </a:r>
        </a:p>
      </xdr:txBody>
    </xdr:sp>
    <xdr:clientData/>
  </xdr:twoCellAnchor>
  <xdr:twoCellAnchor>
    <xdr:from>
      <xdr:col>26</xdr:col>
      <xdr:colOff>76200</xdr:colOff>
      <xdr:row>18</xdr:row>
      <xdr:rowOff>57150</xdr:rowOff>
    </xdr:from>
    <xdr:to>
      <xdr:col>28</xdr:col>
      <xdr:colOff>238125</xdr:colOff>
      <xdr:row>20</xdr:row>
      <xdr:rowOff>180975</xdr:rowOff>
    </xdr:to>
    <xdr:sp macro="" textlink="">
      <xdr:nvSpPr>
        <xdr:cNvPr id="10" name="Flèche : gauch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15554325" y="3657600"/>
          <a:ext cx="2076450" cy="5238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frederio" refreshedDate="43891.051157175927" backgroundQuery="1" createdVersion="6" refreshedVersion="6" minRefreshableVersion="3" recordCount="0" supportSubquery="1" supportAdvancedDrill="1" xr:uid="{F2397C76-C17C-4BFF-A041-4B10ECD7CBDF}">
  <cacheSource type="external" connectionId="1"/>
  <cacheFields count="5">
    <cacheField name="[Plage].[Domicile].[Domicile]" caption="Domicile" numFmtId="0" hierarchy="2" level="1">
      <sharedItems count="1">
        <s v="Bor. Mönchengladbach"/>
      </sharedItems>
    </cacheField>
    <cacheField name="[Plage].[Exterieur].[Exterieur]" caption="Exterieur" numFmtId="0" hierarchy="5" level="1">
      <sharedItems count="1">
        <s v="RB Leipzig"/>
      </sharedItems>
    </cacheField>
    <cacheField name="[Plage].[Saison].[Saison]" caption="Saison" numFmtId="0" level="1">
      <sharedItems count="3">
        <s v="2016/2017"/>
        <s v="2017/2018"/>
        <s v="2018/2019"/>
      </sharedItems>
    </cacheField>
    <cacheField name="[Measures].[Somme de But D]" caption="Somme de But D" numFmtId="0" hierarchy="8" level="32767"/>
    <cacheField name="[Measures].[Somme de But E]" caption="Somme de But E" numFmtId="0" hierarchy="9" level="32767"/>
  </cacheFields>
  <cacheHierarchies count="10">
    <cacheHierarchy uniqueName="[Plage].[Saison]" caption="Saison" attribute="1" defaultMemberUniqueName="[Plage].[Saison].[All]" allUniqueName="[Plage].[Saison].[All]" dimensionUniqueName="[Plage]" displayFolder="" count="2" memberValueDatatype="130" unbalanced="0">
      <fieldsUsage count="2">
        <fieldUsage x="-1"/>
        <fieldUsage x="2"/>
      </fieldsUsage>
    </cacheHierarchy>
    <cacheHierarchy uniqueName="[Plage].[N]" caption="N" attribute="1" defaultMemberUniqueName="[Plage].[N].[All]" allUniqueName="[Plage].[N].[All]" dimensionUniqueName="[Plage]" displayFolder="" count="0" memberValueDatatype="20" unbalanced="0"/>
    <cacheHierarchy uniqueName="[Plage].[Domicile]" caption="Domicile" attribute="1" defaultMemberUniqueName="[Plage].[Domicile].[All]" allUniqueName="[Plage].[Domicil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But D]" caption="But D" attribute="1" defaultMemberUniqueName="[Plage].[But D].[All]" allUniqueName="[Plage].[But D].[All]" dimensionUniqueName="[Plage]" displayFolder="" count="0" memberValueDatatype="20" unbalanced="0"/>
    <cacheHierarchy uniqueName="[Plage].[But E]" caption="But E" attribute="1" defaultMemberUniqueName="[Plage].[But E].[All]" allUniqueName="[Plage].[But E].[All]" dimensionUniqueName="[Plage]" displayFolder="" count="0" memberValueDatatype="20" unbalanced="0"/>
    <cacheHierarchy uniqueName="[Plage].[Exterieur]" caption="Exterieur" attribute="1" defaultMemberUniqueName="[Plage].[Exterieur].[All]" allUniqueName="[Plage].[Exterieur].[All]" dimensionUniqueName="[Plage]" displayFolder="" count="2" memberValueDatatype="130" unbalanced="0">
      <fieldsUsage count="2">
        <fieldUsage x="-1"/>
        <fieldUsage x="1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But D]" caption="Somme de But D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But E]" caption="Somme de But E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80FF27-8E9D-4828-924A-675E486A0921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compact="0" compactData="0" multipleFieldFilters="0">
  <location ref="AG2:AK5" firstHeaderRow="0" firstDataRow="1" firstDataCol="3"/>
  <pivotFields count="5">
    <pivotField axis="axisRow" compact="0" allDrilled="1" outline="0" subtotalTop="0" showAll="0" dataSourceSort="1" defaultSubtotal="0" defaultAttributeDrillState="1">
      <items count="1">
        <item s="1" x="0"/>
      </items>
    </pivotField>
    <pivotField axis="axisRow" compact="0" allDrilled="1" outline="0" subtotalTop="0" showAll="0" dataSourceSort="1" defaultSubtotal="0" defaultAttributeDrillState="1">
      <items count="1">
        <item s="1" x="0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  <pivotField dataField="1" compact="0" outline="0" subtotalTop="0" showAll="0" defaultSubtotal="0"/>
  </pivotFields>
  <rowFields count="3">
    <field x="2"/>
    <field x="0"/>
    <field x="1"/>
  </rowFields>
  <rowItems count="3">
    <i>
      <x/>
      <x/>
      <x/>
    </i>
    <i>
      <x v="1"/>
      <x/>
      <x/>
    </i>
    <i>
      <x v="2"/>
      <x/>
      <x/>
    </i>
  </rowItems>
  <colFields count="1">
    <field x="-2"/>
  </colFields>
  <colItems count="2">
    <i>
      <x/>
    </i>
    <i i="1">
      <x v="1"/>
    </i>
  </colItems>
  <dataFields count="2">
    <dataField name=" But D" fld="3" baseField="0" baseItem="0"/>
    <dataField name=" But E" fld="4" baseField="0" baseItem="0"/>
  </dataFields>
  <formats count="37">
    <format dxfId="36">
      <pivotArea field="0" type="button" dataOnly="0" labelOnly="1" outline="0" axis="axisRow" fieldPosition="1"/>
    </format>
    <format dxfId="35">
      <pivotArea field="1" type="button" dataOnly="0" labelOnly="1" outline="0" axis="axisRow" fieldPosition="2"/>
    </format>
    <format dxfId="34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1"/>
          </reference>
        </references>
      </pivotArea>
    </format>
    <format dxfId="33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2"/>
          </reference>
        </references>
      </pivotArea>
    </format>
    <format dxfId="32">
      <pivotArea field="2" type="button" dataOnly="0" labelOnly="1" outline="0" axis="axisRow" fieldPosition="0"/>
    </format>
    <format dxfId="31">
      <pivotArea dataOnly="0" labelOnly="1" outline="0" fieldPosition="0">
        <references count="1">
          <reference field="2" count="1">
            <x v="0"/>
          </reference>
        </references>
      </pivotArea>
    </format>
    <format dxfId="30">
      <pivotArea dataOnly="0" labelOnly="1" outline="0" fieldPosition="0">
        <references count="1">
          <reference field="2" count="2">
            <x v="1"/>
            <x v="2"/>
          </reference>
        </references>
      </pivotArea>
    </format>
    <format dxfId="29">
      <pivotArea type="all" dataOnly="0" outline="0" fieldPosition="0"/>
    </format>
    <format dxfId="28">
      <pivotArea outline="0" collapsedLevelsAreSubtotals="1" fieldPosition="0"/>
    </format>
    <format dxfId="27">
      <pivotArea field="2" type="button" dataOnly="0" labelOnly="1" outline="0" axis="axisRow" fieldPosition="0"/>
    </format>
    <format dxfId="26">
      <pivotArea field="0" type="button" dataOnly="0" labelOnly="1" outline="0" axis="axisRow" fieldPosition="1"/>
    </format>
    <format dxfId="25">
      <pivotArea field="1" type="button" dataOnly="0" labelOnly="1" outline="0" axis="axisRow" fieldPosition="2"/>
    </format>
    <format dxfId="24">
      <pivotArea dataOnly="0" labelOnly="1" outline="0" fieldPosition="0">
        <references count="1">
          <reference field="2" count="0"/>
        </references>
      </pivotArea>
    </format>
    <format dxfId="23">
      <pivotArea dataOnly="0" labelOnly="1" outline="0" fieldPosition="0">
        <references count="2">
          <reference field="0" count="0"/>
          <reference field="2" count="1" selected="0">
            <x v="1"/>
          </reference>
        </references>
      </pivotArea>
    </format>
    <format dxfId="22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1"/>
          </reference>
        </references>
      </pivotArea>
    </format>
    <format dxfId="21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2"/>
          </reference>
        </references>
      </pivotArea>
    </format>
    <format dxfId="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field="2" type="button" dataOnly="0" labelOnly="1" outline="0" axis="axisRow" fieldPosition="0"/>
    </format>
    <format dxfId="16">
      <pivotArea field="0" type="button" dataOnly="0" labelOnly="1" outline="0" axis="axisRow" fieldPosition="1"/>
    </format>
    <format dxfId="15">
      <pivotArea field="1" type="button" dataOnly="0" labelOnly="1" outline="0" axis="axisRow" fieldPosition="2"/>
    </format>
    <format dxfId="14">
      <pivotArea dataOnly="0" labelOnly="1" outline="0" fieldPosition="0">
        <references count="1">
          <reference field="2" count="0"/>
        </references>
      </pivotArea>
    </format>
    <format dxfId="13">
      <pivotArea dataOnly="0" labelOnly="1" outline="0" fieldPosition="0">
        <references count="2">
          <reference field="0" count="0"/>
          <reference field="2" count="1" selected="0">
            <x v="1"/>
          </reference>
        </references>
      </pivotArea>
    </format>
    <format dxfId="12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1"/>
          </reference>
        </references>
      </pivotArea>
    </format>
    <format dxfId="11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2"/>
          </reference>
        </references>
      </pivotArea>
    </format>
    <format dxfId="1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field="2" type="button" dataOnly="0" labelOnly="1" outline="0" axis="axisRow" fieldPosition="0"/>
    </format>
    <format dxfId="6">
      <pivotArea field="0" type="button" dataOnly="0" labelOnly="1" outline="0" axis="axisRow" fieldPosition="1"/>
    </format>
    <format dxfId="5">
      <pivotArea field="1" type="button" dataOnly="0" labelOnly="1" outline="0" axis="axisRow" fieldPosition="2"/>
    </format>
    <format dxfId="4">
      <pivotArea dataOnly="0" labelOnly="1" outline="0" fieldPosition="0">
        <references count="1">
          <reference field="2" count="0"/>
        </references>
      </pivotArea>
    </format>
    <format dxfId="3">
      <pivotArea dataOnly="0" labelOnly="1" outline="0" fieldPosition="0">
        <references count="2">
          <reference field="0" count="0"/>
          <reference field="2" count="1" selected="0">
            <x v="1"/>
          </reference>
        </references>
      </pivotArea>
    </format>
    <format dxfId="2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1"/>
          </reference>
        </references>
      </pivotArea>
    </format>
    <format dxfId="1">
      <pivotArea dataOnly="0" labelOnly="1" outline="0" fieldPosition="0">
        <references count="3">
          <reference field="0" count="0" selected="0"/>
          <reference field="1" count="0"/>
          <reference field="2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 But D"/>
    <pivotHierarchy dragToData="1" caption=" But E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2"/>
    <rowHierarchyUsage hierarchyUsage="5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Saison!$B$2:$G$1532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2" tint="-0.89999084444715716"/>
  </sheetPr>
  <dimension ref="B4:AT39"/>
  <sheetViews>
    <sheetView showGridLines="0" showRowColHeaders="0" zoomScale="120" zoomScaleNormal="120" workbookViewId="0">
      <selection activeCell="F32" sqref="F32"/>
    </sheetView>
  </sheetViews>
  <sheetFormatPr baseColWidth="10" defaultColWidth="11.42578125" defaultRowHeight="15.75" x14ac:dyDescent="0.25"/>
  <cols>
    <col min="1" max="1" width="6.42578125" style="27" customWidth="1"/>
    <col min="2" max="2" width="6.28515625" style="27" customWidth="1"/>
    <col min="3" max="3" width="5.7109375" style="27" customWidth="1"/>
    <col min="4" max="4" width="0.140625" style="27" customWidth="1"/>
    <col min="5" max="5" width="4.28515625" style="27" customWidth="1"/>
    <col min="6" max="6" width="22.85546875" style="27" customWidth="1"/>
    <col min="7" max="7" width="11.42578125" style="27" customWidth="1"/>
    <col min="8" max="8" width="12.85546875" style="27" customWidth="1"/>
    <col min="9" max="10" width="11.42578125" style="27" customWidth="1"/>
    <col min="11" max="11" width="2.85546875" style="21" customWidth="1"/>
    <col min="12" max="18" width="5.7109375" style="28" customWidth="1"/>
    <col min="19" max="19" width="5.7109375" style="21" customWidth="1"/>
    <col min="20" max="26" width="5.7109375" style="28" customWidth="1"/>
    <col min="27" max="27" width="5.7109375" style="21" customWidth="1"/>
    <col min="28" max="34" width="5.7109375" style="28" customWidth="1"/>
    <col min="35" max="35" width="5.7109375" style="21" customWidth="1"/>
    <col min="36" max="42" width="5.7109375" style="28" customWidth="1"/>
    <col min="43" max="46" width="11.42578125" style="27" customWidth="1"/>
    <col min="47" max="16384" width="11.42578125" style="27"/>
  </cols>
  <sheetData>
    <row r="4" spans="2:46" x14ac:dyDescent="0.25">
      <c r="E4" s="33"/>
      <c r="F4" s="33"/>
      <c r="G4" s="33"/>
      <c r="H4" s="33"/>
      <c r="I4" s="33"/>
      <c r="J4" s="33"/>
      <c r="K4" s="16"/>
      <c r="L4" s="29"/>
      <c r="M4" s="29"/>
      <c r="N4" s="29"/>
      <c r="O4" s="29"/>
      <c r="P4" s="29"/>
      <c r="Q4" s="29"/>
      <c r="R4" s="29"/>
      <c r="S4" s="16"/>
    </row>
    <row r="5" spans="2:46" ht="18.75" x14ac:dyDescent="0.3">
      <c r="E5" s="34" t="s">
        <v>4</v>
      </c>
      <c r="F5" s="35" t="s">
        <v>13</v>
      </c>
      <c r="G5" s="150" t="s">
        <v>144</v>
      </c>
      <c r="H5" s="150"/>
      <c r="I5" s="150" t="s">
        <v>145</v>
      </c>
      <c r="J5" s="150"/>
      <c r="K5" s="16"/>
      <c r="L5" s="36"/>
      <c r="M5" s="36"/>
      <c r="N5" s="36"/>
      <c r="O5" s="37"/>
      <c r="P5" s="37"/>
      <c r="Q5" s="37"/>
      <c r="R5" s="29"/>
      <c r="S5" s="16"/>
      <c r="AM5" s="38"/>
    </row>
    <row r="6" spans="2:46" ht="16.5" thickBot="1" x14ac:dyDescent="0.3">
      <c r="B6" s="116"/>
      <c r="E6" s="39">
        <v>1</v>
      </c>
      <c r="F6" s="40" t="s">
        <v>161</v>
      </c>
      <c r="G6" s="151">
        <v>43322</v>
      </c>
      <c r="H6" s="151"/>
      <c r="I6" s="152">
        <v>43615</v>
      </c>
      <c r="J6" s="152"/>
      <c r="K6" s="16"/>
      <c r="L6" s="29"/>
      <c r="M6" s="29"/>
      <c r="N6" s="29"/>
      <c r="O6" s="29"/>
      <c r="P6" s="29"/>
      <c r="Q6" s="29"/>
      <c r="R6" s="29"/>
      <c r="S6" s="16"/>
      <c r="AQ6" s="41"/>
      <c r="AR6" s="32"/>
      <c r="AS6" s="32"/>
      <c r="AT6" s="32"/>
    </row>
    <row r="7" spans="2:46" ht="17.25" thickTop="1" thickBot="1" x14ac:dyDescent="0.3">
      <c r="B7" s="116"/>
      <c r="E7" s="39">
        <v>2</v>
      </c>
      <c r="F7" s="42" t="s">
        <v>162</v>
      </c>
      <c r="G7" s="151" t="s">
        <v>146</v>
      </c>
      <c r="H7" s="151"/>
      <c r="I7" s="149" t="s">
        <v>30</v>
      </c>
      <c r="J7" s="149"/>
      <c r="K7" s="16"/>
      <c r="L7" s="29"/>
      <c r="M7" s="29"/>
      <c r="N7" s="29"/>
      <c r="O7" s="43"/>
      <c r="P7" s="43"/>
      <c r="Q7" s="43"/>
      <c r="R7" s="43"/>
      <c r="S7" s="16"/>
      <c r="AQ7" s="44"/>
      <c r="AR7" s="32"/>
      <c r="AS7" s="32"/>
      <c r="AT7" s="32"/>
    </row>
    <row r="8" spans="2:46" ht="17.25" thickTop="1" thickBot="1" x14ac:dyDescent="0.3">
      <c r="B8" s="116"/>
      <c r="E8" s="39">
        <v>3</v>
      </c>
      <c r="F8" s="42" t="s">
        <v>90</v>
      </c>
      <c r="G8" s="149" t="s">
        <v>14</v>
      </c>
      <c r="H8" s="149"/>
      <c r="I8" s="149" t="s">
        <v>31</v>
      </c>
      <c r="J8" s="149"/>
      <c r="K8" s="16"/>
      <c r="L8" s="45"/>
      <c r="M8" s="45"/>
      <c r="N8" s="45"/>
      <c r="O8" s="45"/>
      <c r="P8" s="45"/>
      <c r="Q8" s="45"/>
      <c r="R8" s="45"/>
      <c r="S8" s="16"/>
      <c r="AQ8" s="32"/>
      <c r="AR8" s="32"/>
      <c r="AS8" s="32"/>
      <c r="AT8" s="32"/>
    </row>
    <row r="9" spans="2:46" ht="17.25" thickTop="1" thickBot="1" x14ac:dyDescent="0.3">
      <c r="B9" s="116"/>
      <c r="E9" s="39">
        <v>4</v>
      </c>
      <c r="F9" s="42" t="s">
        <v>86</v>
      </c>
      <c r="G9" s="149" t="s">
        <v>15</v>
      </c>
      <c r="H9" s="149"/>
      <c r="I9" s="149" t="s">
        <v>32</v>
      </c>
      <c r="J9" s="149"/>
      <c r="L9" s="46"/>
      <c r="M9" s="43"/>
      <c r="N9" s="43"/>
      <c r="O9" s="43"/>
      <c r="P9" s="43"/>
      <c r="Q9" s="43"/>
      <c r="R9" s="43"/>
      <c r="T9" s="46"/>
      <c r="U9" s="43"/>
      <c r="V9" s="43"/>
      <c r="W9" s="43"/>
      <c r="X9" s="43"/>
      <c r="Y9" s="43"/>
      <c r="Z9" s="43"/>
      <c r="AB9" s="46"/>
      <c r="AC9" s="43"/>
      <c r="AD9" s="43"/>
      <c r="AE9" s="43"/>
      <c r="AF9" s="43"/>
      <c r="AG9" s="43"/>
      <c r="AH9" s="43"/>
      <c r="AJ9" s="46"/>
      <c r="AK9" s="43"/>
      <c r="AL9" s="43"/>
      <c r="AM9" s="43"/>
      <c r="AN9" s="43"/>
      <c r="AO9" s="43"/>
      <c r="AP9" s="43"/>
      <c r="AQ9" s="47"/>
      <c r="AR9" s="32"/>
      <c r="AS9" s="32"/>
      <c r="AT9" s="32"/>
    </row>
    <row r="10" spans="2:46" ht="17.25" thickTop="1" thickBot="1" x14ac:dyDescent="0.3">
      <c r="B10" s="116"/>
      <c r="E10" s="39">
        <v>5</v>
      </c>
      <c r="F10" s="42" t="s">
        <v>83</v>
      </c>
      <c r="G10" s="149" t="s">
        <v>16</v>
      </c>
      <c r="H10" s="149"/>
      <c r="I10" s="149" t="s">
        <v>33</v>
      </c>
      <c r="J10" s="149"/>
      <c r="L10" s="45"/>
      <c r="M10" s="45"/>
      <c r="N10" s="45"/>
      <c r="O10" s="45"/>
      <c r="P10" s="45"/>
      <c r="Q10" s="45"/>
      <c r="R10" s="45"/>
      <c r="T10" s="45"/>
      <c r="U10" s="45"/>
      <c r="V10" s="45"/>
      <c r="W10" s="45"/>
      <c r="X10" s="45"/>
      <c r="Y10" s="45"/>
      <c r="Z10" s="45"/>
      <c r="AB10" s="45"/>
      <c r="AC10" s="45"/>
      <c r="AD10" s="45"/>
      <c r="AE10" s="45"/>
      <c r="AF10" s="45"/>
      <c r="AG10" s="45"/>
      <c r="AH10" s="45"/>
      <c r="AJ10" s="45"/>
      <c r="AK10" s="45"/>
      <c r="AL10" s="45"/>
      <c r="AM10" s="45"/>
      <c r="AN10" s="45"/>
      <c r="AO10" s="45"/>
      <c r="AP10" s="45"/>
      <c r="AQ10" s="47"/>
      <c r="AR10" s="32"/>
      <c r="AS10" s="32"/>
      <c r="AT10" s="32"/>
    </row>
    <row r="11" spans="2:46" ht="17.25" thickTop="1" thickBot="1" x14ac:dyDescent="0.3">
      <c r="B11" s="116"/>
      <c r="E11" s="39">
        <v>6</v>
      </c>
      <c r="F11" s="42" t="s">
        <v>79</v>
      </c>
      <c r="G11" s="149" t="s">
        <v>17</v>
      </c>
      <c r="H11" s="149"/>
      <c r="I11" s="149" t="s">
        <v>34</v>
      </c>
      <c r="J11" s="149"/>
      <c r="K11" s="21">
        <f>_xlfn.ISOWEEKNUM(R11)</f>
        <v>52</v>
      </c>
      <c r="L11" s="48"/>
      <c r="M11" s="48"/>
      <c r="N11" s="48"/>
      <c r="O11" s="48"/>
      <c r="P11" s="48"/>
      <c r="Q11" s="48"/>
      <c r="R11" s="48"/>
      <c r="T11" s="48"/>
      <c r="U11" s="48"/>
      <c r="V11" s="48"/>
      <c r="W11" s="48"/>
      <c r="X11" s="48"/>
      <c r="Y11" s="48"/>
      <c r="Z11" s="48"/>
      <c r="AB11" s="48"/>
      <c r="AC11" s="48"/>
      <c r="AD11" s="48"/>
      <c r="AE11" s="48"/>
      <c r="AF11" s="48"/>
      <c r="AG11" s="48"/>
      <c r="AH11" s="48"/>
      <c r="AJ11" s="48"/>
      <c r="AK11" s="48"/>
      <c r="AL11" s="48"/>
      <c r="AM11" s="48"/>
      <c r="AN11" s="48"/>
      <c r="AO11" s="48"/>
      <c r="AP11" s="48"/>
      <c r="AQ11" s="47"/>
      <c r="AR11" s="32"/>
      <c r="AS11" s="32"/>
      <c r="AT11" s="32"/>
    </row>
    <row r="12" spans="2:46" ht="17.25" thickTop="1" thickBot="1" x14ac:dyDescent="0.3">
      <c r="B12" s="116"/>
      <c r="E12" s="39">
        <v>7</v>
      </c>
      <c r="F12" s="42" t="s">
        <v>82</v>
      </c>
      <c r="G12" s="149" t="s">
        <v>18</v>
      </c>
      <c r="H12" s="149"/>
      <c r="I12" s="149" t="s">
        <v>35</v>
      </c>
      <c r="J12" s="149"/>
      <c r="K12" s="21">
        <f>_xlfn.ISOWEEKNUM(L12)</f>
        <v>52</v>
      </c>
      <c r="L12" s="48"/>
      <c r="M12" s="48"/>
      <c r="N12" s="48"/>
      <c r="O12" s="48"/>
      <c r="P12" s="48"/>
      <c r="Q12" s="48"/>
      <c r="R12" s="48"/>
      <c r="T12" s="48"/>
      <c r="U12" s="48"/>
      <c r="V12" s="48"/>
      <c r="W12" s="48"/>
      <c r="X12" s="48"/>
      <c r="Y12" s="48"/>
      <c r="Z12" s="48"/>
      <c r="AB12" s="48"/>
      <c r="AC12" s="48"/>
      <c r="AD12" s="48"/>
      <c r="AE12" s="48"/>
      <c r="AF12" s="48"/>
      <c r="AG12" s="48"/>
      <c r="AH12" s="48"/>
      <c r="AJ12" s="48"/>
      <c r="AK12" s="48"/>
      <c r="AL12" s="48"/>
      <c r="AM12" s="48"/>
      <c r="AN12" s="48"/>
      <c r="AO12" s="48"/>
      <c r="AP12" s="48"/>
      <c r="AQ12" s="47"/>
      <c r="AR12" s="32"/>
      <c r="AS12" s="32"/>
      <c r="AT12" s="32"/>
    </row>
    <row r="13" spans="2:46" ht="17.25" thickTop="1" thickBot="1" x14ac:dyDescent="0.3">
      <c r="B13" s="116"/>
      <c r="E13" s="39">
        <v>8</v>
      </c>
      <c r="F13" s="42" t="s">
        <v>80</v>
      </c>
      <c r="G13" s="149" t="s">
        <v>19</v>
      </c>
      <c r="H13" s="149"/>
      <c r="I13" s="149" t="s">
        <v>36</v>
      </c>
      <c r="J13" s="149"/>
      <c r="K13" s="21">
        <f t="shared" ref="K13:K14" si="0">_xlfn.ISOWEEKNUM(L13)</f>
        <v>52</v>
      </c>
      <c r="L13" s="48"/>
      <c r="M13" s="48"/>
      <c r="N13" s="48"/>
      <c r="O13" s="48"/>
      <c r="P13" s="48"/>
      <c r="Q13" s="48"/>
      <c r="R13" s="48"/>
      <c r="T13" s="48"/>
      <c r="U13" s="48"/>
      <c r="V13" s="48"/>
      <c r="W13" s="48"/>
      <c r="X13" s="48"/>
      <c r="Y13" s="48"/>
      <c r="Z13" s="48"/>
      <c r="AB13" s="48"/>
      <c r="AC13" s="48"/>
      <c r="AD13" s="48"/>
      <c r="AE13" s="48"/>
      <c r="AF13" s="48"/>
      <c r="AG13" s="48"/>
      <c r="AH13" s="48"/>
      <c r="AJ13" s="48"/>
      <c r="AK13" s="48"/>
      <c r="AL13" s="48"/>
      <c r="AM13" s="48"/>
      <c r="AN13" s="48"/>
      <c r="AO13" s="48"/>
      <c r="AP13" s="48"/>
      <c r="AQ13" s="47"/>
      <c r="AR13" s="32"/>
      <c r="AS13" s="32"/>
      <c r="AT13" s="32"/>
    </row>
    <row r="14" spans="2:46" ht="17.25" thickTop="1" thickBot="1" x14ac:dyDescent="0.3">
      <c r="B14" s="116"/>
      <c r="E14" s="39">
        <v>9</v>
      </c>
      <c r="F14" s="42" t="s">
        <v>84</v>
      </c>
      <c r="G14" s="149" t="s">
        <v>20</v>
      </c>
      <c r="H14" s="149"/>
      <c r="I14" s="149" t="s">
        <v>37</v>
      </c>
      <c r="J14" s="149"/>
      <c r="K14" s="21">
        <f t="shared" si="0"/>
        <v>52</v>
      </c>
      <c r="L14" s="48"/>
      <c r="M14" s="48"/>
      <c r="N14" s="48"/>
      <c r="O14" s="48"/>
      <c r="P14" s="48"/>
      <c r="Q14" s="48"/>
      <c r="R14" s="48"/>
      <c r="T14" s="48"/>
      <c r="U14" s="48"/>
      <c r="V14" s="48"/>
      <c r="W14" s="48"/>
      <c r="X14" s="48"/>
      <c r="Y14" s="48"/>
      <c r="Z14" s="48"/>
      <c r="AB14" s="48"/>
      <c r="AC14" s="48"/>
      <c r="AD14" s="48"/>
      <c r="AE14" s="48"/>
      <c r="AF14" s="48"/>
      <c r="AG14" s="48"/>
      <c r="AH14" s="48"/>
      <c r="AJ14" s="48"/>
      <c r="AK14" s="48"/>
      <c r="AL14" s="48"/>
      <c r="AM14" s="48"/>
      <c r="AN14" s="48"/>
      <c r="AO14" s="48"/>
      <c r="AP14" s="48"/>
      <c r="AQ14" s="47"/>
      <c r="AR14" s="32"/>
      <c r="AS14" s="32"/>
      <c r="AT14" s="32"/>
    </row>
    <row r="15" spans="2:46" ht="17.25" thickTop="1" thickBot="1" x14ac:dyDescent="0.3">
      <c r="B15" s="116"/>
      <c r="E15" s="39">
        <v>10</v>
      </c>
      <c r="F15" s="42" t="s">
        <v>92</v>
      </c>
      <c r="G15" s="149" t="s">
        <v>21</v>
      </c>
      <c r="H15" s="149"/>
      <c r="I15" s="149" t="s">
        <v>38</v>
      </c>
      <c r="J15" s="149"/>
      <c r="K15" s="21" t="str">
        <f>IF(L15="","",_xlfn.ISOWEEKNUM(L15))</f>
        <v/>
      </c>
      <c r="L15" s="48"/>
      <c r="M15" s="48"/>
      <c r="N15" s="48"/>
      <c r="O15" s="48"/>
      <c r="P15" s="48"/>
      <c r="Q15" s="48"/>
      <c r="R15" s="48"/>
      <c r="T15" s="48"/>
      <c r="U15" s="48"/>
      <c r="V15" s="48"/>
      <c r="W15" s="48"/>
      <c r="X15" s="48"/>
      <c r="Y15" s="48"/>
      <c r="Z15" s="48"/>
      <c r="AB15" s="48"/>
      <c r="AC15" s="48"/>
      <c r="AD15" s="48"/>
      <c r="AE15" s="48"/>
      <c r="AF15" s="48"/>
      <c r="AG15" s="48"/>
      <c r="AH15" s="48"/>
      <c r="AJ15" s="48"/>
      <c r="AK15" s="48"/>
      <c r="AL15" s="48"/>
      <c r="AM15" s="48"/>
      <c r="AN15" s="48"/>
      <c r="AO15" s="48"/>
      <c r="AP15" s="48"/>
      <c r="AR15" s="32"/>
      <c r="AS15" s="32"/>
      <c r="AT15" s="32"/>
    </row>
    <row r="16" spans="2:46" ht="17.25" thickTop="1" thickBot="1" x14ac:dyDescent="0.3">
      <c r="B16" s="116"/>
      <c r="E16" s="39">
        <v>11</v>
      </c>
      <c r="F16" s="42" t="s">
        <v>93</v>
      </c>
      <c r="G16" s="149" t="s">
        <v>22</v>
      </c>
      <c r="H16" s="149"/>
      <c r="I16" s="149" t="s">
        <v>39</v>
      </c>
      <c r="J16" s="149"/>
      <c r="K16" s="21" t="str">
        <f>IF(L16="","",_xlfn.ISOWEEKNUM(L16))</f>
        <v/>
      </c>
      <c r="L16" s="48"/>
      <c r="M16" s="48"/>
      <c r="N16" s="29"/>
      <c r="O16" s="29"/>
      <c r="P16" s="29"/>
      <c r="Q16" s="29"/>
      <c r="R16" s="29"/>
      <c r="T16" s="48"/>
      <c r="U16" s="48"/>
      <c r="V16" s="29"/>
      <c r="W16" s="29"/>
      <c r="X16" s="29"/>
      <c r="Y16" s="29"/>
      <c r="Z16" s="29"/>
      <c r="AB16" s="48"/>
      <c r="AC16" s="48"/>
      <c r="AD16" s="29"/>
      <c r="AE16" s="29"/>
      <c r="AF16" s="29"/>
      <c r="AG16" s="29"/>
      <c r="AH16" s="29"/>
      <c r="AJ16" s="48"/>
      <c r="AK16" s="48"/>
      <c r="AL16" s="29"/>
      <c r="AM16" s="29"/>
      <c r="AN16" s="29"/>
      <c r="AO16" s="29"/>
      <c r="AP16" s="29"/>
      <c r="AR16" s="32"/>
      <c r="AS16" s="32"/>
      <c r="AT16" s="32"/>
    </row>
    <row r="17" spans="2:46" ht="17.25" thickTop="1" thickBot="1" x14ac:dyDescent="0.3">
      <c r="B17" s="116"/>
      <c r="E17" s="39">
        <v>12</v>
      </c>
      <c r="F17" s="42" t="s">
        <v>89</v>
      </c>
      <c r="G17" s="149" t="s">
        <v>23</v>
      </c>
      <c r="H17" s="149"/>
      <c r="I17" s="149" t="s">
        <v>40</v>
      </c>
      <c r="J17" s="149"/>
      <c r="AR17" s="32"/>
      <c r="AS17" s="32"/>
      <c r="AT17" s="32"/>
    </row>
    <row r="18" spans="2:46" ht="17.25" thickTop="1" thickBot="1" x14ac:dyDescent="0.3">
      <c r="B18" s="116"/>
      <c r="E18" s="39">
        <v>13</v>
      </c>
      <c r="F18" s="42" t="s">
        <v>88</v>
      </c>
      <c r="G18" s="149" t="s">
        <v>24</v>
      </c>
      <c r="H18" s="149"/>
      <c r="I18" s="149" t="s">
        <v>41</v>
      </c>
      <c r="J18" s="149"/>
      <c r="L18" s="46"/>
      <c r="M18" s="43"/>
      <c r="N18" s="43"/>
      <c r="O18" s="43"/>
      <c r="P18" s="43"/>
      <c r="Q18" s="43"/>
      <c r="R18" s="43"/>
      <c r="T18" s="46"/>
      <c r="U18" s="43"/>
      <c r="V18" s="43"/>
      <c r="W18" s="43"/>
      <c r="X18" s="43"/>
      <c r="Y18" s="43"/>
      <c r="Z18" s="43"/>
      <c r="AB18" s="46"/>
      <c r="AC18" s="43"/>
      <c r="AD18" s="43"/>
      <c r="AE18" s="43"/>
      <c r="AF18" s="43"/>
      <c r="AG18" s="43"/>
      <c r="AH18" s="43"/>
      <c r="AJ18" s="46"/>
      <c r="AK18" s="43"/>
      <c r="AL18" s="43"/>
      <c r="AM18" s="43"/>
      <c r="AN18" s="43"/>
      <c r="AO18" s="43"/>
      <c r="AP18" s="43"/>
      <c r="AR18" s="32"/>
      <c r="AS18" s="32"/>
      <c r="AT18" s="32"/>
    </row>
    <row r="19" spans="2:46" ht="17.25" thickTop="1" thickBot="1" x14ac:dyDescent="0.3">
      <c r="B19" s="116"/>
      <c r="E19" s="39">
        <v>14</v>
      </c>
      <c r="F19" s="42" t="s">
        <v>81</v>
      </c>
      <c r="G19" s="149" t="s">
        <v>25</v>
      </c>
      <c r="H19" s="149"/>
      <c r="I19" s="149" t="s">
        <v>42</v>
      </c>
      <c r="J19" s="149"/>
      <c r="L19" s="45"/>
      <c r="M19" s="45"/>
      <c r="N19" s="45"/>
      <c r="O19" s="45"/>
      <c r="P19" s="45"/>
      <c r="Q19" s="45"/>
      <c r="R19" s="45"/>
      <c r="T19" s="45"/>
      <c r="U19" s="45"/>
      <c r="V19" s="45"/>
      <c r="W19" s="45"/>
      <c r="X19" s="45"/>
      <c r="Y19" s="45"/>
      <c r="Z19" s="45"/>
      <c r="AB19" s="45"/>
      <c r="AC19" s="45"/>
      <c r="AD19" s="45"/>
      <c r="AE19" s="45"/>
      <c r="AF19" s="45"/>
      <c r="AG19" s="45"/>
      <c r="AH19" s="45"/>
      <c r="AJ19" s="45"/>
      <c r="AK19" s="45"/>
      <c r="AL19" s="45"/>
      <c r="AM19" s="45"/>
      <c r="AN19" s="45"/>
      <c r="AO19" s="45"/>
      <c r="AP19" s="45"/>
      <c r="AT19" s="32"/>
    </row>
    <row r="20" spans="2:46" ht="17.25" thickTop="1" thickBot="1" x14ac:dyDescent="0.3">
      <c r="B20" s="116"/>
      <c r="E20" s="39">
        <v>15</v>
      </c>
      <c r="F20" s="42" t="s">
        <v>91</v>
      </c>
      <c r="G20" s="149" t="s">
        <v>26</v>
      </c>
      <c r="H20" s="149"/>
      <c r="I20" s="149" t="s">
        <v>43</v>
      </c>
      <c r="J20" s="149"/>
      <c r="K20" s="21">
        <f>_xlfn.ISOWEEKNUM(R20)</f>
        <v>52</v>
      </c>
      <c r="L20" s="48"/>
      <c r="M20" s="48"/>
      <c r="N20" s="48"/>
      <c r="O20" s="48"/>
      <c r="P20" s="48"/>
      <c r="Q20" s="48"/>
      <c r="R20" s="48"/>
      <c r="T20" s="48"/>
      <c r="U20" s="48"/>
      <c r="V20" s="48"/>
      <c r="W20" s="48"/>
      <c r="X20" s="48"/>
      <c r="Y20" s="48"/>
      <c r="Z20" s="48"/>
      <c r="AB20" s="48"/>
      <c r="AC20" s="48"/>
      <c r="AD20" s="48"/>
      <c r="AE20" s="48"/>
      <c r="AF20" s="48"/>
      <c r="AG20" s="48"/>
      <c r="AH20" s="48"/>
      <c r="AJ20" s="48"/>
      <c r="AK20" s="48"/>
      <c r="AL20" s="48"/>
      <c r="AM20" s="48"/>
      <c r="AN20" s="48"/>
      <c r="AO20" s="48"/>
      <c r="AP20" s="48"/>
      <c r="AT20" s="32"/>
    </row>
    <row r="21" spans="2:46" ht="17.25" thickTop="1" thickBot="1" x14ac:dyDescent="0.3">
      <c r="B21" s="116"/>
      <c r="E21" s="39">
        <v>16</v>
      </c>
      <c r="F21" s="42" t="s">
        <v>148</v>
      </c>
      <c r="G21" s="149" t="s">
        <v>27</v>
      </c>
      <c r="H21" s="149"/>
      <c r="I21" s="149" t="s">
        <v>44</v>
      </c>
      <c r="J21" s="149"/>
      <c r="K21" s="21">
        <f>_xlfn.ISOWEEKNUM(L21)</f>
        <v>52</v>
      </c>
      <c r="L21" s="48"/>
      <c r="M21" s="48"/>
      <c r="N21" s="48"/>
      <c r="O21" s="48"/>
      <c r="P21" s="48"/>
      <c r="Q21" s="48"/>
      <c r="R21" s="48"/>
      <c r="T21" s="48"/>
      <c r="U21" s="48"/>
      <c r="V21" s="48"/>
      <c r="W21" s="48"/>
      <c r="X21" s="48"/>
      <c r="Y21" s="48"/>
      <c r="Z21" s="48"/>
      <c r="AB21" s="48"/>
      <c r="AC21" s="48"/>
      <c r="AD21" s="48"/>
      <c r="AE21" s="48"/>
      <c r="AF21" s="48"/>
      <c r="AG21" s="48"/>
      <c r="AH21" s="48"/>
      <c r="AJ21" s="48"/>
      <c r="AK21" s="48"/>
      <c r="AL21" s="48"/>
      <c r="AM21" s="48"/>
      <c r="AN21" s="48"/>
      <c r="AO21" s="48"/>
      <c r="AP21" s="48"/>
      <c r="AT21" s="32"/>
    </row>
    <row r="22" spans="2:46" ht="17.25" thickTop="1" thickBot="1" x14ac:dyDescent="0.3">
      <c r="B22" s="116"/>
      <c r="E22" s="39">
        <v>17</v>
      </c>
      <c r="F22" s="42" t="s">
        <v>85</v>
      </c>
      <c r="G22" s="149" t="s">
        <v>28</v>
      </c>
      <c r="H22" s="149"/>
      <c r="I22" s="149" t="s">
        <v>45</v>
      </c>
      <c r="J22" s="149"/>
      <c r="K22" s="21">
        <f t="shared" ref="K22:K23" si="1">_xlfn.ISOWEEKNUM(L22)</f>
        <v>52</v>
      </c>
      <c r="L22" s="48"/>
      <c r="M22" s="48"/>
      <c r="N22" s="48"/>
      <c r="O22" s="48"/>
      <c r="P22" s="48"/>
      <c r="Q22" s="48"/>
      <c r="R22" s="48"/>
      <c r="T22" s="48"/>
      <c r="U22" s="48"/>
      <c r="V22" s="48"/>
      <c r="W22" s="48"/>
      <c r="X22" s="48"/>
      <c r="Y22" s="48"/>
      <c r="Z22" s="48"/>
      <c r="AB22" s="48"/>
      <c r="AC22" s="48"/>
      <c r="AD22" s="48"/>
      <c r="AE22" s="48"/>
      <c r="AF22" s="48"/>
      <c r="AG22" s="48"/>
      <c r="AH22" s="48"/>
      <c r="AJ22" s="48"/>
      <c r="AK22" s="48"/>
      <c r="AL22" s="48"/>
      <c r="AM22" s="48"/>
      <c r="AN22" s="48"/>
      <c r="AO22" s="48"/>
      <c r="AP22" s="48"/>
      <c r="AT22" s="32"/>
    </row>
    <row r="23" spans="2:46" ht="17.25" thickTop="1" thickBot="1" x14ac:dyDescent="0.3">
      <c r="B23" s="116"/>
      <c r="E23" s="39">
        <v>18</v>
      </c>
      <c r="F23" s="42" t="s">
        <v>87</v>
      </c>
      <c r="G23" s="149" t="s">
        <v>29</v>
      </c>
      <c r="H23" s="149"/>
      <c r="I23" s="149" t="s">
        <v>46</v>
      </c>
      <c r="J23" s="149"/>
      <c r="K23" s="21">
        <f t="shared" si="1"/>
        <v>52</v>
      </c>
      <c r="L23" s="48"/>
      <c r="M23" s="48"/>
      <c r="N23" s="48"/>
      <c r="O23" s="48"/>
      <c r="P23" s="48"/>
      <c r="Q23" s="48"/>
      <c r="R23" s="48"/>
      <c r="T23" s="48"/>
      <c r="U23" s="48"/>
      <c r="V23" s="48"/>
      <c r="W23" s="48"/>
      <c r="X23" s="48"/>
      <c r="Y23" s="48"/>
      <c r="Z23" s="48"/>
      <c r="AB23" s="48"/>
      <c r="AC23" s="48"/>
      <c r="AD23" s="48"/>
      <c r="AE23" s="48"/>
      <c r="AF23" s="48"/>
      <c r="AG23" s="48"/>
      <c r="AH23" s="48"/>
      <c r="AJ23" s="48"/>
      <c r="AK23" s="48"/>
      <c r="AL23" s="48"/>
      <c r="AM23" s="48"/>
      <c r="AN23" s="48"/>
      <c r="AO23" s="48"/>
      <c r="AP23" s="48"/>
      <c r="AT23" s="32"/>
    </row>
    <row r="24" spans="2:46" ht="16.5" thickTop="1" x14ac:dyDescent="0.25">
      <c r="B24" s="116"/>
      <c r="E24" s="49"/>
      <c r="F24" s="49"/>
      <c r="G24" s="49"/>
      <c r="H24" s="49"/>
      <c r="I24" s="49"/>
      <c r="J24" s="49"/>
      <c r="K24" s="21" t="str">
        <f>IF(L24="","",_xlfn.ISOWEEKNUM(L24))</f>
        <v/>
      </c>
      <c r="L24" s="48"/>
      <c r="M24" s="48"/>
      <c r="N24" s="48"/>
      <c r="O24" s="48"/>
      <c r="P24" s="48"/>
      <c r="Q24" s="48"/>
      <c r="R24" s="48"/>
      <c r="T24" s="48"/>
      <c r="U24" s="48"/>
      <c r="V24" s="48"/>
      <c r="W24" s="48"/>
      <c r="X24" s="48"/>
      <c r="Y24" s="48"/>
      <c r="Z24" s="48"/>
      <c r="AB24" s="48"/>
      <c r="AC24" s="48"/>
      <c r="AD24" s="48"/>
      <c r="AE24" s="48"/>
      <c r="AF24" s="48"/>
      <c r="AG24" s="48"/>
      <c r="AH24" s="48"/>
      <c r="AJ24" s="48"/>
      <c r="AK24" s="48"/>
      <c r="AL24" s="48"/>
      <c r="AM24" s="48"/>
      <c r="AN24" s="48"/>
      <c r="AO24" s="48"/>
      <c r="AP24" s="48"/>
      <c r="AT24" s="32"/>
    </row>
    <row r="25" spans="2:46" x14ac:dyDescent="0.25">
      <c r="B25" s="116"/>
      <c r="E25" s="49"/>
      <c r="F25" s="49"/>
      <c r="G25" s="49"/>
      <c r="H25" s="49"/>
      <c r="I25" s="49"/>
      <c r="J25" s="49"/>
      <c r="K25" s="21" t="str">
        <f>IF(L25="","",_xlfn.ISOWEEKNUM(L25))</f>
        <v/>
      </c>
      <c r="L25" s="48"/>
      <c r="M25" s="48"/>
      <c r="N25" s="29"/>
      <c r="O25" s="29"/>
      <c r="P25" s="29"/>
      <c r="Q25" s="29"/>
      <c r="R25" s="29"/>
      <c r="T25" s="48"/>
      <c r="U25" s="48"/>
      <c r="V25" s="29"/>
      <c r="W25" s="29"/>
      <c r="X25" s="29"/>
      <c r="Y25" s="29"/>
      <c r="Z25" s="29"/>
      <c r="AB25" s="48"/>
      <c r="AC25" s="48"/>
      <c r="AD25" s="29"/>
      <c r="AE25" s="29"/>
      <c r="AF25" s="29"/>
      <c r="AG25" s="29"/>
      <c r="AH25" s="29"/>
      <c r="AJ25" s="48"/>
      <c r="AK25" s="48"/>
      <c r="AL25" s="29"/>
      <c r="AM25" s="29"/>
      <c r="AN25" s="29"/>
      <c r="AO25" s="29"/>
      <c r="AP25" s="29"/>
      <c r="AT25" s="32"/>
    </row>
    <row r="26" spans="2:46" x14ac:dyDescent="0.25">
      <c r="B26" s="116"/>
      <c r="E26" s="49"/>
      <c r="F26" s="49"/>
      <c r="G26" s="49"/>
      <c r="H26" s="49"/>
      <c r="I26" s="49"/>
      <c r="J26" s="49"/>
      <c r="AT26" s="32"/>
    </row>
    <row r="27" spans="2:46" x14ac:dyDescent="0.25">
      <c r="B27" s="116"/>
      <c r="E27" s="49"/>
      <c r="F27" s="49"/>
      <c r="G27" s="49"/>
      <c r="H27" s="49"/>
      <c r="I27" s="49"/>
      <c r="J27" s="49"/>
      <c r="L27" s="46"/>
      <c r="M27" s="43"/>
      <c r="N27" s="43"/>
      <c r="O27" s="43"/>
      <c r="P27" s="43"/>
      <c r="Q27" s="43"/>
      <c r="R27" s="43"/>
      <c r="T27" s="46"/>
      <c r="U27" s="43"/>
      <c r="V27" s="43"/>
      <c r="W27" s="43"/>
      <c r="X27" s="43"/>
      <c r="Y27" s="43"/>
      <c r="Z27" s="43"/>
      <c r="AB27" s="46"/>
      <c r="AC27" s="43"/>
      <c r="AD27" s="43"/>
      <c r="AE27" s="43"/>
      <c r="AF27" s="43"/>
      <c r="AG27" s="43"/>
      <c r="AH27" s="43"/>
      <c r="AJ27" s="46"/>
      <c r="AK27" s="43"/>
      <c r="AL27" s="43"/>
      <c r="AM27" s="43"/>
      <c r="AN27" s="43"/>
      <c r="AO27" s="43"/>
      <c r="AP27" s="43"/>
      <c r="AT27" s="32"/>
    </row>
    <row r="28" spans="2:46" x14ac:dyDescent="0.25">
      <c r="B28" s="116"/>
      <c r="E28" s="49"/>
      <c r="F28" s="49"/>
      <c r="G28" s="49"/>
      <c r="H28" s="49"/>
      <c r="I28" s="49"/>
      <c r="J28" s="49"/>
      <c r="L28" s="45"/>
      <c r="M28" s="45"/>
      <c r="N28" s="45"/>
      <c r="O28" s="45"/>
      <c r="P28" s="45"/>
      <c r="Q28" s="45"/>
      <c r="R28" s="45"/>
      <c r="T28" s="45"/>
      <c r="U28" s="45"/>
      <c r="V28" s="45"/>
      <c r="W28" s="45"/>
      <c r="X28" s="45"/>
      <c r="Y28" s="45"/>
      <c r="Z28" s="45"/>
      <c r="AB28" s="45"/>
      <c r="AC28" s="45"/>
      <c r="AD28" s="45"/>
      <c r="AE28" s="45"/>
      <c r="AF28" s="45"/>
      <c r="AG28" s="45"/>
      <c r="AH28" s="45"/>
      <c r="AJ28" s="45"/>
      <c r="AK28" s="45"/>
      <c r="AL28" s="45"/>
      <c r="AM28" s="45"/>
      <c r="AN28" s="45"/>
      <c r="AO28" s="45"/>
      <c r="AP28" s="45"/>
      <c r="AT28" s="32"/>
    </row>
    <row r="29" spans="2:46" x14ac:dyDescent="0.25">
      <c r="B29" s="116"/>
      <c r="E29" s="49"/>
      <c r="F29" s="49"/>
      <c r="G29" s="49"/>
      <c r="H29" s="49"/>
      <c r="I29" s="49"/>
      <c r="J29" s="49"/>
      <c r="K29" s="21">
        <f>_xlfn.ISOWEEKNUM(R29)</f>
        <v>52</v>
      </c>
      <c r="L29" s="48"/>
      <c r="M29" s="48"/>
      <c r="N29" s="48"/>
      <c r="O29" s="48"/>
      <c r="P29" s="48"/>
      <c r="Q29" s="48"/>
      <c r="R29" s="48"/>
      <c r="T29" s="48"/>
      <c r="U29" s="48"/>
      <c r="V29" s="48"/>
      <c r="W29" s="48"/>
      <c r="X29" s="48"/>
      <c r="Y29" s="48"/>
      <c r="Z29" s="48"/>
      <c r="AB29" s="48"/>
      <c r="AC29" s="48"/>
      <c r="AD29" s="48"/>
      <c r="AE29" s="48"/>
      <c r="AF29" s="48"/>
      <c r="AG29" s="48"/>
      <c r="AH29" s="48"/>
      <c r="AJ29" s="48"/>
      <c r="AK29" s="48"/>
      <c r="AL29" s="48"/>
      <c r="AM29" s="48"/>
      <c r="AN29" s="48"/>
      <c r="AO29" s="48"/>
      <c r="AP29" s="48"/>
    </row>
    <row r="30" spans="2:46" x14ac:dyDescent="0.25">
      <c r="B30" s="116"/>
      <c r="K30" s="21">
        <f>_xlfn.ISOWEEKNUM(L30)</f>
        <v>52</v>
      </c>
      <c r="L30" s="48"/>
      <c r="M30" s="48"/>
      <c r="N30" s="48"/>
      <c r="O30" s="48"/>
      <c r="P30" s="48"/>
      <c r="Q30" s="48"/>
      <c r="R30" s="48"/>
      <c r="T30" s="48"/>
      <c r="U30" s="48"/>
      <c r="V30" s="48"/>
      <c r="W30" s="48"/>
      <c r="X30" s="48"/>
      <c r="Y30" s="48"/>
      <c r="Z30" s="48"/>
      <c r="AB30" s="48"/>
      <c r="AC30" s="48"/>
      <c r="AD30" s="48"/>
      <c r="AE30" s="48"/>
      <c r="AF30" s="48"/>
      <c r="AG30" s="48"/>
      <c r="AH30" s="48"/>
      <c r="AJ30" s="48"/>
      <c r="AK30" s="48"/>
      <c r="AL30" s="48"/>
      <c r="AM30" s="48"/>
      <c r="AN30" s="48"/>
      <c r="AO30" s="48"/>
      <c r="AP30" s="48"/>
    </row>
    <row r="31" spans="2:46" x14ac:dyDescent="0.25">
      <c r="B31" s="116"/>
      <c r="K31" s="21">
        <f t="shared" ref="K31:K32" si="2">_xlfn.ISOWEEKNUM(L31)</f>
        <v>52</v>
      </c>
      <c r="L31" s="48"/>
      <c r="M31" s="48"/>
      <c r="N31" s="48"/>
      <c r="O31" s="48"/>
      <c r="P31" s="48"/>
      <c r="Q31" s="48"/>
      <c r="R31" s="48"/>
      <c r="T31" s="48"/>
      <c r="U31" s="48"/>
      <c r="V31" s="48"/>
      <c r="W31" s="48"/>
      <c r="X31" s="48"/>
      <c r="Y31" s="48"/>
      <c r="Z31" s="48"/>
      <c r="AB31" s="48"/>
      <c r="AC31" s="48"/>
      <c r="AD31" s="48"/>
      <c r="AE31" s="48"/>
      <c r="AF31" s="48"/>
      <c r="AG31" s="48"/>
      <c r="AH31" s="48"/>
      <c r="AJ31" s="48"/>
      <c r="AK31" s="48"/>
      <c r="AL31" s="48"/>
      <c r="AM31" s="48"/>
      <c r="AN31" s="48"/>
      <c r="AO31" s="48"/>
      <c r="AP31" s="48"/>
    </row>
    <row r="32" spans="2:46" x14ac:dyDescent="0.25">
      <c r="B32" s="116"/>
      <c r="K32" s="21">
        <f t="shared" si="2"/>
        <v>52</v>
      </c>
      <c r="L32" s="48"/>
      <c r="M32" s="48"/>
      <c r="N32" s="48"/>
      <c r="O32" s="48"/>
      <c r="P32" s="48"/>
      <c r="Q32" s="48"/>
      <c r="R32" s="48"/>
      <c r="T32" s="48"/>
      <c r="U32" s="48"/>
      <c r="V32" s="48"/>
      <c r="W32" s="48"/>
      <c r="X32" s="48"/>
      <c r="Y32" s="48"/>
      <c r="Z32" s="48"/>
      <c r="AB32" s="48"/>
      <c r="AC32" s="48"/>
      <c r="AD32" s="48"/>
      <c r="AE32" s="48"/>
      <c r="AF32" s="48"/>
      <c r="AG32" s="48"/>
      <c r="AH32" s="48"/>
      <c r="AJ32" s="48"/>
      <c r="AK32" s="48"/>
      <c r="AL32" s="48"/>
      <c r="AM32" s="48"/>
      <c r="AN32" s="48"/>
      <c r="AO32" s="48"/>
      <c r="AP32" s="48"/>
    </row>
    <row r="33" spans="2:42" x14ac:dyDescent="0.25">
      <c r="B33" s="116"/>
      <c r="K33" s="21" t="str">
        <f>IF(L33="","",_xlfn.ISOWEEKNUM(L33))</f>
        <v/>
      </c>
      <c r="L33" s="48"/>
      <c r="M33" s="48"/>
      <c r="N33" s="48"/>
      <c r="O33" s="48"/>
      <c r="P33" s="48"/>
      <c r="Q33" s="48"/>
      <c r="R33" s="48"/>
      <c r="T33" s="48"/>
      <c r="U33" s="48"/>
      <c r="V33" s="48"/>
      <c r="W33" s="48"/>
      <c r="X33" s="48"/>
      <c r="Y33" s="48"/>
      <c r="Z33" s="48"/>
      <c r="AB33" s="48"/>
      <c r="AC33" s="48"/>
      <c r="AD33" s="48"/>
      <c r="AE33" s="48"/>
      <c r="AF33" s="48"/>
      <c r="AG33" s="48"/>
      <c r="AH33" s="48"/>
      <c r="AJ33" s="48"/>
      <c r="AK33" s="48"/>
      <c r="AL33" s="48"/>
      <c r="AM33" s="48"/>
      <c r="AN33" s="48"/>
      <c r="AO33" s="48"/>
      <c r="AP33" s="48"/>
    </row>
    <row r="34" spans="2:42" x14ac:dyDescent="0.25">
      <c r="B34" s="116"/>
      <c r="K34" s="21" t="str">
        <f>IF(L34="","",_xlfn.ISOWEEKNUM(L34))</f>
        <v/>
      </c>
      <c r="L34" s="48"/>
      <c r="M34" s="48"/>
      <c r="N34" s="29"/>
      <c r="O34" s="29"/>
      <c r="P34" s="29"/>
      <c r="Q34" s="29"/>
      <c r="R34" s="29"/>
      <c r="T34" s="48"/>
      <c r="U34" s="48"/>
      <c r="V34" s="29"/>
      <c r="W34" s="29"/>
      <c r="X34" s="29"/>
      <c r="Y34" s="29"/>
      <c r="Z34" s="29"/>
      <c r="AB34" s="48"/>
      <c r="AC34" s="48"/>
      <c r="AD34" s="29"/>
      <c r="AE34" s="29"/>
      <c r="AF34" s="29"/>
      <c r="AG34" s="29"/>
      <c r="AH34" s="29"/>
      <c r="AJ34" s="48"/>
      <c r="AK34" s="48"/>
      <c r="AL34" s="29"/>
      <c r="AM34" s="29"/>
      <c r="AN34" s="29"/>
      <c r="AO34" s="29"/>
      <c r="AP34" s="29"/>
    </row>
    <row r="35" spans="2:42" x14ac:dyDescent="0.25">
      <c r="B35" s="116"/>
    </row>
    <row r="36" spans="2:42" x14ac:dyDescent="0.25">
      <c r="B36" s="116"/>
    </row>
    <row r="37" spans="2:42" x14ac:dyDescent="0.25">
      <c r="B37" s="116"/>
    </row>
    <row r="38" spans="2:42" x14ac:dyDescent="0.25">
      <c r="B38" s="116"/>
    </row>
    <row r="39" spans="2:42" x14ac:dyDescent="0.25">
      <c r="B39" s="116"/>
    </row>
  </sheetData>
  <sortState ref="F6:F23">
    <sortCondition ref="F6"/>
  </sortState>
  <mergeCells count="38">
    <mergeCell ref="G5:H5"/>
    <mergeCell ref="I5:J5"/>
    <mergeCell ref="G6:H6"/>
    <mergeCell ref="I6:J6"/>
    <mergeCell ref="G7:H7"/>
    <mergeCell ref="I7:J7"/>
    <mergeCell ref="G8:H8"/>
    <mergeCell ref="I8:J8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G14:H14"/>
    <mergeCell ref="I14:J14"/>
    <mergeCell ref="G15:H15"/>
    <mergeCell ref="I15:J15"/>
    <mergeCell ref="G16:H16"/>
    <mergeCell ref="I16:J16"/>
    <mergeCell ref="G23:H23"/>
    <mergeCell ref="I23:J23"/>
    <mergeCell ref="G17:H17"/>
    <mergeCell ref="I17:J17"/>
    <mergeCell ref="G18:H18"/>
    <mergeCell ref="I18:J18"/>
    <mergeCell ref="G19:H19"/>
    <mergeCell ref="I19:J19"/>
    <mergeCell ref="G20:H20"/>
    <mergeCell ref="I20:J20"/>
    <mergeCell ref="G21:H21"/>
    <mergeCell ref="I21:J21"/>
    <mergeCell ref="G22:H22"/>
    <mergeCell ref="I22:J22"/>
  </mergeCells>
  <phoneticPr fontId="1" type="noConversion"/>
  <conditionalFormatting sqref="L9:M9">
    <cfRule type="notContainsBlanks" dxfId="107" priority="112">
      <formula>LEN(TRIM(L9))&gt;0</formula>
    </cfRule>
  </conditionalFormatting>
  <conditionalFormatting sqref="L10:L16">
    <cfRule type="notContainsBlanks" dxfId="106" priority="47">
      <formula>LEN(TRIM(L10))&gt;0</formula>
    </cfRule>
  </conditionalFormatting>
  <conditionalFormatting sqref="R10:R16">
    <cfRule type="notContainsBlanks" dxfId="105" priority="46">
      <formula>LEN(TRIM(R10))&gt;0</formula>
    </cfRule>
  </conditionalFormatting>
  <conditionalFormatting sqref="M10:Q16">
    <cfRule type="notContainsBlanks" dxfId="104" priority="85">
      <formula>LEN(TRIM(M10))&gt;0</formula>
    </cfRule>
  </conditionalFormatting>
  <conditionalFormatting sqref="AC10:AG16">
    <cfRule type="notContainsBlanks" dxfId="103" priority="89">
      <formula>LEN(TRIM(AC10))&gt;0</formula>
    </cfRule>
  </conditionalFormatting>
  <conditionalFormatting sqref="T9:U9">
    <cfRule type="notContainsBlanks" dxfId="102" priority="113">
      <formula>LEN(TRIM(T9))&gt;0</formula>
    </cfRule>
  </conditionalFormatting>
  <conditionalFormatting sqref="T10:T16">
    <cfRule type="notContainsBlanks" dxfId="101" priority="43">
      <formula>LEN(TRIM(T10))&gt;0</formula>
    </cfRule>
  </conditionalFormatting>
  <conditionalFormatting sqref="Z10:Z16">
    <cfRule type="notContainsBlanks" dxfId="100" priority="42">
      <formula>LEN(TRIM(Z10))&gt;0</formula>
    </cfRule>
  </conditionalFormatting>
  <conditionalFormatting sqref="U10:Y16">
    <cfRule type="notContainsBlanks" dxfId="99" priority="88">
      <formula>LEN(TRIM(U10))&gt;0</formula>
    </cfRule>
  </conditionalFormatting>
  <conditionalFormatting sqref="AK28:AO34">
    <cfRule type="notContainsBlanks" dxfId="98" priority="98">
      <formula>LEN(TRIM(AK28))&gt;0</formula>
    </cfRule>
  </conditionalFormatting>
  <conditionalFormatting sqref="AB9:AC9">
    <cfRule type="notContainsBlanks" dxfId="97" priority="114">
      <formula>LEN(TRIM(AB9))&gt;0</formula>
    </cfRule>
  </conditionalFormatting>
  <conditionalFormatting sqref="AB10:AB16">
    <cfRule type="notContainsBlanks" dxfId="96" priority="39">
      <formula>LEN(TRIM(AB10))&gt;0</formula>
    </cfRule>
  </conditionalFormatting>
  <conditionalFormatting sqref="AH10:AH16">
    <cfRule type="notContainsBlanks" dxfId="95" priority="38">
      <formula>LEN(TRIM(AH10))&gt;0</formula>
    </cfRule>
  </conditionalFormatting>
  <conditionalFormatting sqref="AJ9:AK9">
    <cfRule type="notContainsBlanks" dxfId="94" priority="115">
      <formula>LEN(TRIM(AJ9))&gt;0</formula>
    </cfRule>
  </conditionalFormatting>
  <conditionalFormatting sqref="AJ10:AJ16">
    <cfRule type="notContainsBlanks" dxfId="93" priority="35">
      <formula>LEN(TRIM(AJ10))&gt;0</formula>
    </cfRule>
  </conditionalFormatting>
  <conditionalFormatting sqref="AP10:AP16">
    <cfRule type="notContainsBlanks" dxfId="92" priority="34">
      <formula>LEN(TRIM(AP10))&gt;0</formula>
    </cfRule>
  </conditionalFormatting>
  <conditionalFormatting sqref="AK10:AO16">
    <cfRule type="notContainsBlanks" dxfId="91" priority="90">
      <formula>LEN(TRIM(AK10))&gt;0</formula>
    </cfRule>
  </conditionalFormatting>
  <conditionalFormatting sqref="L18:M18">
    <cfRule type="notContainsBlanks" dxfId="90" priority="116">
      <formula>LEN(TRIM(L18))&gt;0</formula>
    </cfRule>
  </conditionalFormatting>
  <conditionalFormatting sqref="L19:L25">
    <cfRule type="notContainsBlanks" dxfId="89" priority="31">
      <formula>LEN(TRIM(L19))&gt;0</formula>
    </cfRule>
  </conditionalFormatting>
  <conditionalFormatting sqref="R19:R25">
    <cfRule type="notContainsBlanks" dxfId="88" priority="30">
      <formula>LEN(TRIM(R19))&gt;0</formula>
    </cfRule>
  </conditionalFormatting>
  <conditionalFormatting sqref="M19:Q25">
    <cfRule type="notContainsBlanks" dxfId="87" priority="91">
      <formula>LEN(TRIM(M19))&gt;0</formula>
    </cfRule>
  </conditionalFormatting>
  <conditionalFormatting sqref="T18:U18">
    <cfRule type="notContainsBlanks" dxfId="86" priority="117">
      <formula>LEN(TRIM(T18))&gt;0</formula>
    </cfRule>
  </conditionalFormatting>
  <conditionalFormatting sqref="T19:T25">
    <cfRule type="notContainsBlanks" dxfId="85" priority="27">
      <formula>LEN(TRIM(T19))&gt;0</formula>
    </cfRule>
  </conditionalFormatting>
  <conditionalFormatting sqref="Z19:Z25">
    <cfRule type="notContainsBlanks" dxfId="84" priority="26">
      <formula>LEN(TRIM(Z19))&gt;0</formula>
    </cfRule>
  </conditionalFormatting>
  <conditionalFormatting sqref="U19:Y25">
    <cfRule type="notContainsBlanks" dxfId="83" priority="92">
      <formula>LEN(TRIM(U19))&gt;0</formula>
    </cfRule>
  </conditionalFormatting>
  <conditionalFormatting sqref="AB18:AC18">
    <cfRule type="notContainsBlanks" dxfId="82" priority="120">
      <formula>LEN(TRIM(AB18))&gt;0</formula>
    </cfRule>
  </conditionalFormatting>
  <conditionalFormatting sqref="AB19:AB25">
    <cfRule type="notContainsBlanks" dxfId="81" priority="23">
      <formula>LEN(TRIM(AB19))&gt;0</formula>
    </cfRule>
  </conditionalFormatting>
  <conditionalFormatting sqref="AH19:AH25">
    <cfRule type="notContainsBlanks" dxfId="80" priority="22">
      <formula>LEN(TRIM(AH19))&gt;0</formula>
    </cfRule>
  </conditionalFormatting>
  <conditionalFormatting sqref="AC19:AG25">
    <cfRule type="notContainsBlanks" dxfId="79" priority="93">
      <formula>LEN(TRIM(AC19))&gt;0</formula>
    </cfRule>
  </conditionalFormatting>
  <conditionalFormatting sqref="AJ18:AK18">
    <cfRule type="notContainsBlanks" dxfId="78" priority="121">
      <formula>LEN(TRIM(AJ18))&gt;0</formula>
    </cfRule>
  </conditionalFormatting>
  <conditionalFormatting sqref="AJ19:AJ25">
    <cfRule type="notContainsBlanks" dxfId="77" priority="19">
      <formula>LEN(TRIM(AJ19))&gt;0</formula>
    </cfRule>
  </conditionalFormatting>
  <conditionalFormatting sqref="AP19:AP25">
    <cfRule type="notContainsBlanks" dxfId="76" priority="18">
      <formula>LEN(TRIM(AP19))&gt;0</formula>
    </cfRule>
  </conditionalFormatting>
  <conditionalFormatting sqref="AK19:AO25">
    <cfRule type="notContainsBlanks" dxfId="75" priority="94">
      <formula>LEN(TRIM(AK19))&gt;0</formula>
    </cfRule>
  </conditionalFormatting>
  <conditionalFormatting sqref="L27:M27">
    <cfRule type="notContainsBlanks" dxfId="74" priority="118">
      <formula>LEN(TRIM(L27))&gt;0</formula>
    </cfRule>
  </conditionalFormatting>
  <conditionalFormatting sqref="L28:L34">
    <cfRule type="notContainsBlanks" dxfId="73" priority="15">
      <formula>LEN(TRIM(L28))&gt;0</formula>
    </cfRule>
  </conditionalFormatting>
  <conditionalFormatting sqref="R28:R34">
    <cfRule type="notContainsBlanks" dxfId="72" priority="14">
      <formula>LEN(TRIM(R28))&gt;0</formula>
    </cfRule>
  </conditionalFormatting>
  <conditionalFormatting sqref="M28:Q34">
    <cfRule type="notContainsBlanks" dxfId="71" priority="95">
      <formula>LEN(TRIM(M28))&gt;0</formula>
    </cfRule>
  </conditionalFormatting>
  <conditionalFormatting sqref="T27:U27">
    <cfRule type="notContainsBlanks" dxfId="70" priority="119">
      <formula>LEN(TRIM(T27))&gt;0</formula>
    </cfRule>
  </conditionalFormatting>
  <conditionalFormatting sqref="T28:T34">
    <cfRule type="notContainsBlanks" dxfId="69" priority="11">
      <formula>LEN(TRIM(T28))&gt;0</formula>
    </cfRule>
  </conditionalFormatting>
  <conditionalFormatting sqref="Z28:Z34">
    <cfRule type="notContainsBlanks" dxfId="68" priority="10">
      <formula>LEN(TRIM(Z28))&gt;0</formula>
    </cfRule>
  </conditionalFormatting>
  <conditionalFormatting sqref="U28:Y34">
    <cfRule type="notContainsBlanks" dxfId="67" priority="96">
      <formula>LEN(TRIM(U28))&gt;0</formula>
    </cfRule>
  </conditionalFormatting>
  <conditionalFormatting sqref="AB27:AC27">
    <cfRule type="notContainsBlanks" dxfId="66" priority="122">
      <formula>LEN(TRIM(AB27))&gt;0</formula>
    </cfRule>
  </conditionalFormatting>
  <conditionalFormatting sqref="AB28:AB34">
    <cfRule type="notContainsBlanks" dxfId="65" priority="7">
      <formula>LEN(TRIM(AB28))&gt;0</formula>
    </cfRule>
  </conditionalFormatting>
  <conditionalFormatting sqref="AH28:AH34">
    <cfRule type="notContainsBlanks" dxfId="64" priority="6">
      <formula>LEN(TRIM(AH28))&gt;0</formula>
    </cfRule>
  </conditionalFormatting>
  <conditionalFormatting sqref="AC28:AG34">
    <cfRule type="notContainsBlanks" dxfId="63" priority="97">
      <formula>LEN(TRIM(AC28))&gt;0</formula>
    </cfRule>
  </conditionalFormatting>
  <conditionalFormatting sqref="AJ27:AK27">
    <cfRule type="notContainsBlanks" dxfId="62" priority="123">
      <formula>LEN(TRIM(AJ27))&gt;0</formula>
    </cfRule>
  </conditionalFormatting>
  <conditionalFormatting sqref="AJ28:AJ34">
    <cfRule type="notContainsBlanks" dxfId="61" priority="3">
      <formula>LEN(TRIM(AJ28))&gt;0</formula>
    </cfRule>
  </conditionalFormatting>
  <conditionalFormatting sqref="AP28:AP34">
    <cfRule type="notContainsBlanks" dxfId="60" priority="2">
      <formula>LEN(TRIM(AP28))&gt;0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CJ839"/>
  <sheetViews>
    <sheetView showGridLines="0" showRowColHeaders="0" zoomScale="110" zoomScaleNormal="110" workbookViewId="0">
      <pane ySplit="1" topLeftCell="A2" activePane="bottomLeft" state="frozen"/>
      <selection pane="bottomLeft"/>
    </sheetView>
  </sheetViews>
  <sheetFormatPr baseColWidth="10" defaultColWidth="11.42578125" defaultRowHeight="15.75" x14ac:dyDescent="0.25"/>
  <cols>
    <col min="1" max="1" width="15" style="2" customWidth="1"/>
    <col min="2" max="2" width="4.28515625" style="2" hidden="1" customWidth="1"/>
    <col min="3" max="3" width="1.42578125" style="2" customWidth="1"/>
    <col min="4" max="4" width="4.28515625" style="60" customWidth="1"/>
    <col min="5" max="5" width="2.140625" style="2" customWidth="1"/>
    <col min="6" max="6" width="25" style="1" customWidth="1"/>
    <col min="7" max="8" width="5.7109375" style="3" customWidth="1"/>
    <col min="9" max="9" width="25" style="1" customWidth="1"/>
    <col min="10" max="10" width="2.140625" style="1" customWidth="1"/>
    <col min="11" max="11" width="4.28515625" style="60" customWidth="1"/>
    <col min="12" max="12" width="1.42578125" style="2" customWidth="1"/>
    <col min="13" max="13" width="4.28515625" style="2" hidden="1" customWidth="1"/>
    <col min="14" max="14" width="1.5703125" style="2" hidden="1" customWidth="1"/>
    <col min="15" max="16" width="4.28515625" style="2" hidden="1" customWidth="1"/>
    <col min="17" max="17" width="2.140625" style="2" hidden="1" customWidth="1"/>
    <col min="18" max="18" width="1.42578125" style="2" hidden="1" customWidth="1"/>
    <col min="19" max="19" width="39.5703125" style="2" hidden="1" customWidth="1"/>
    <col min="20" max="20" width="7.140625" style="2" hidden="1" customWidth="1"/>
    <col min="21" max="21" width="2.140625" style="2" hidden="1" customWidth="1"/>
    <col min="22" max="22" width="22.85546875" style="2" hidden="1" customWidth="1"/>
    <col min="23" max="23" width="7.140625" style="2" hidden="1" customWidth="1"/>
    <col min="24" max="24" width="2.140625" style="1" hidden="1" customWidth="1"/>
    <col min="25" max="25" width="7.28515625" style="1" hidden="1" customWidth="1"/>
    <col min="26" max="26" width="22.85546875" style="1" hidden="1" customWidth="1"/>
    <col min="27" max="34" width="7.140625" style="1" hidden="1" customWidth="1"/>
    <col min="35" max="35" width="10" style="1" hidden="1" customWidth="1"/>
    <col min="36" max="36" width="2.85546875" style="1" hidden="1" customWidth="1"/>
    <col min="37" max="37" width="17.85546875" style="1" customWidth="1"/>
    <col min="38" max="38" width="7.140625" style="1" customWidth="1"/>
    <col min="39" max="39" width="25" style="1" customWidth="1"/>
    <col min="40" max="47" width="8.5703125" style="1" customWidth="1"/>
    <col min="48" max="48" width="5.7109375" style="1" customWidth="1"/>
    <col min="49" max="49" width="20.140625" style="54" customWidth="1"/>
    <col min="50" max="83" width="11.42578125" style="7" customWidth="1"/>
    <col min="84" max="84" width="5.7109375" style="1" customWidth="1"/>
    <col min="85" max="88" width="11.42578125" style="1" customWidth="1"/>
    <col min="89" max="16384" width="11.42578125" style="1"/>
  </cols>
  <sheetData>
    <row r="1" spans="1:88" ht="23.25" customHeight="1" x14ac:dyDescent="0.25">
      <c r="A1" s="1"/>
      <c r="O1" s="4" t="s">
        <v>141</v>
      </c>
      <c r="P1" s="4" t="s">
        <v>142</v>
      </c>
      <c r="AL1" s="5"/>
      <c r="AM1" s="5"/>
    </row>
    <row r="2" spans="1:88" x14ac:dyDescent="0.25">
      <c r="A2" s="1"/>
      <c r="O2" s="55"/>
      <c r="P2" s="55"/>
      <c r="CF2" s="8"/>
    </row>
    <row r="3" spans="1:88" x14ac:dyDescent="0.25">
      <c r="A3" s="1"/>
      <c r="F3" s="153" t="s">
        <v>157</v>
      </c>
      <c r="G3" s="153"/>
      <c r="H3" s="153"/>
      <c r="I3" s="153"/>
      <c r="J3" s="6"/>
      <c r="X3" s="2"/>
      <c r="Y3" s="7"/>
      <c r="AI3" s="2"/>
      <c r="AJ3" s="2"/>
      <c r="AL3" s="58" t="s">
        <v>10</v>
      </c>
      <c r="AM3" s="58" t="s">
        <v>1</v>
      </c>
      <c r="AN3" s="58" t="s">
        <v>2</v>
      </c>
      <c r="AO3" s="58" t="s">
        <v>3</v>
      </c>
      <c r="AP3" s="58" t="s">
        <v>4</v>
      </c>
      <c r="AQ3" s="58" t="s">
        <v>5</v>
      </c>
      <c r="AR3" s="58" t="s">
        <v>6</v>
      </c>
      <c r="AS3" s="58" t="s">
        <v>7</v>
      </c>
      <c r="AT3" s="58" t="s">
        <v>8</v>
      </c>
      <c r="AU3" s="58" t="s">
        <v>9</v>
      </c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6"/>
      <c r="CH3" s="2"/>
      <c r="CJ3" s="2"/>
    </row>
    <row r="4" spans="1:88" x14ac:dyDescent="0.25">
      <c r="A4" s="1"/>
      <c r="B4" s="2">
        <f>IF(G4="","",IF(G4&gt;H4,3,IF(G4=H4,1,0)))</f>
        <v>1</v>
      </c>
      <c r="D4" s="61"/>
      <c r="F4" s="9" t="s">
        <v>79</v>
      </c>
      <c r="G4" s="10">
        <v>2</v>
      </c>
      <c r="H4" s="10">
        <v>2</v>
      </c>
      <c r="I4" s="9" t="s">
        <v>88</v>
      </c>
      <c r="J4" s="6"/>
      <c r="K4" s="61"/>
      <c r="M4" s="2">
        <f t="shared" ref="M4:M12" si="0">IF(H4="","",IF(H4&gt;G4,3,IF(H4=G4,1,0)))</f>
        <v>1</v>
      </c>
      <c r="O4" s="2" t="str">
        <f>IF(B4="","",IF(B4=1,"N",IF(B4=0,"P",IF(B4=3,"G"))))</f>
        <v>N</v>
      </c>
      <c r="P4" s="2" t="str">
        <f>IF(M4="","",IF(M4=1,"N",IF(M4=0,"P",IF(M4=3,"G"))))</f>
        <v>N</v>
      </c>
      <c r="S4" s="2" t="str">
        <f t="shared" ref="S4:S12" si="1">IF(M4&lt;&gt;"",F4&amp;I4,"")</f>
        <v>Bayern MünchenHertha BSC</v>
      </c>
      <c r="T4" s="2" t="str">
        <f t="shared" ref="T4:T12" si="2">IF(S4&lt;&gt;"",G4&amp;"-"&amp;H4,"")</f>
        <v>2-2</v>
      </c>
      <c r="Y4" s="11"/>
      <c r="Z4" s="12" t="s">
        <v>1</v>
      </c>
      <c r="AA4" s="11" t="s">
        <v>2</v>
      </c>
      <c r="AB4" s="11" t="s">
        <v>3</v>
      </c>
      <c r="AC4" s="11" t="s">
        <v>4</v>
      </c>
      <c r="AD4" s="11" t="s">
        <v>5</v>
      </c>
      <c r="AE4" s="11" t="s">
        <v>6</v>
      </c>
      <c r="AF4" s="11" t="s">
        <v>7</v>
      </c>
      <c r="AG4" s="11" t="s">
        <v>8</v>
      </c>
      <c r="AH4" s="11" t="s">
        <v>9</v>
      </c>
      <c r="AI4" s="11" t="s">
        <v>0</v>
      </c>
      <c r="AJ4" s="6"/>
      <c r="AL4" s="59">
        <v>1</v>
      </c>
      <c r="AM4" s="59" t="str">
        <f>VLOOKUP($AL4,$Y4:$AH22,COLUMNS($AM4:AM4)+1,FALSE)</f>
        <v>Bayern München</v>
      </c>
      <c r="AN4" s="59">
        <f>VLOOKUP($AL4,$Y4:$AH22,COLUMNS($AM4:AN4)+1,FALSE)</f>
        <v>24</v>
      </c>
      <c r="AO4" s="59">
        <f>VLOOKUP($AL4,$Y4:$AH22,COLUMNS($AM4:AO4)+1,FALSE)</f>
        <v>16</v>
      </c>
      <c r="AP4" s="59">
        <f>VLOOKUP($AL4,$Y4:$AH22,COLUMNS($AM4:AP4)+1,FALSE)</f>
        <v>4</v>
      </c>
      <c r="AQ4" s="59">
        <f>VLOOKUP($AL4,$Y4:$AH22,COLUMNS($AM4:AQ4)+1,FALSE)</f>
        <v>4</v>
      </c>
      <c r="AR4" s="59">
        <f>VLOOKUP($AL4,$Y4:$AH22,COLUMNS($AM4:AR4)+1,FALSE)</f>
        <v>71</v>
      </c>
      <c r="AS4" s="59">
        <f>VLOOKUP($AL4,$Y4:$AH22,COLUMNS($AM4:AS4)+1,FALSE)</f>
        <v>26</v>
      </c>
      <c r="AT4" s="59">
        <f>VLOOKUP($AL4,$Y4:$AH22,COLUMNS($AM4:AT4)+1,FALSE)</f>
        <v>45</v>
      </c>
      <c r="AU4" s="59">
        <f>VLOOKUP($AL4,$Y4:$AH22,COLUMNS($AM4:AU4)+1,FALSE)</f>
        <v>52</v>
      </c>
      <c r="AW4" s="56" t="s">
        <v>91</v>
      </c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6"/>
      <c r="CG4" s="2"/>
      <c r="CH4" s="2"/>
      <c r="CI4" s="2"/>
      <c r="CJ4" s="2"/>
    </row>
    <row r="5" spans="1:88" x14ac:dyDescent="0.25">
      <c r="A5" s="1"/>
      <c r="B5" s="2">
        <f t="shared" ref="B5:B67" si="3">IF(G5="","",IF(G5&gt;H5,3,IF(G5=H5,1,0)))</f>
        <v>3</v>
      </c>
      <c r="D5" s="61"/>
      <c r="F5" s="9" t="s">
        <v>80</v>
      </c>
      <c r="G5" s="10">
        <v>5</v>
      </c>
      <c r="H5" s="10">
        <v>1</v>
      </c>
      <c r="I5" s="9" t="s">
        <v>92</v>
      </c>
      <c r="J5" s="6"/>
      <c r="K5" s="61"/>
      <c r="M5" s="2">
        <f t="shared" si="0"/>
        <v>0</v>
      </c>
      <c r="O5" s="2" t="str">
        <f t="shared" ref="O5:O68" si="4">IF(B5="","",IF(B5=1,"N",IF(B5=0,"P",IF(B5=3,"G"))))</f>
        <v>G</v>
      </c>
      <c r="P5" s="2" t="str">
        <f t="shared" ref="P5:P68" si="5">IF(M5="","",IF(M5=1,"N",IF(M5=0,"P",IF(M5=3,"G"))))</f>
        <v>P</v>
      </c>
      <c r="S5" s="2" t="str">
        <f t="shared" si="1"/>
        <v>Borussia DortmundFC Augsburg</v>
      </c>
      <c r="T5" s="2" t="str">
        <f t="shared" si="2"/>
        <v>5-1</v>
      </c>
      <c r="Y5" s="11">
        <f>RANK(AI5,$AI$5:$AI$22,0)+COUNTIF($AI$4:AI4,AI5)</f>
        <v>11</v>
      </c>
      <c r="Z5" s="12" t="str">
        <f>CONCATENATE(EQUIPES!F6)</f>
        <v>1. FC Köln</v>
      </c>
      <c r="AA5" s="11">
        <f t="shared" ref="AA5:AA22" si="6">COUNTIFS(F:F,Z5,G:G,"&gt;=0")+COUNTIFS(I:I,Z5,H:H,"&gt;=0")</f>
        <v>23</v>
      </c>
      <c r="AB5" s="11">
        <f t="shared" ref="AB5:AB22" si="7">COUNTIFS(F:F,Z5,B:B,3)+COUNTIFS(I:I,Z5,M:M,3)</f>
        <v>9</v>
      </c>
      <c r="AC5" s="11">
        <f t="shared" ref="AC5:AC22" si="8">COUNTIFS(F:F,Z5,B:B,1)+COUNTIFS(I:I,Z5,M:M,1)</f>
        <v>2</v>
      </c>
      <c r="AD5" s="11">
        <f t="shared" ref="AD5:AD22" si="9">COUNTIFS(F:F,Z5,B:B,0)+COUNTIFS(I:I,Z5,M:M,0)</f>
        <v>12</v>
      </c>
      <c r="AE5" s="11">
        <f t="shared" ref="AE5:AE22" si="10">SUMIF(F:F,Z5,G:G)+SUMIF(I:I,Z5,H:H)</f>
        <v>36</v>
      </c>
      <c r="AF5" s="11">
        <f t="shared" ref="AF5:AF22" si="11">SUMIF(F:F,Z5,H:H)+SUMIF(I:I,Z5,G:G)</f>
        <v>42</v>
      </c>
      <c r="AG5" s="11">
        <f>+AE5-AF5</f>
        <v>-6</v>
      </c>
      <c r="AH5" s="11">
        <f>(AB5*3)+AC5</f>
        <v>29</v>
      </c>
      <c r="AI5" s="11">
        <f>SUM(AH5*1000+(AG5)/100+(AE5)/1000)</f>
        <v>28999.975999999999</v>
      </c>
      <c r="AJ5" s="6"/>
      <c r="AL5" s="59">
        <v>2</v>
      </c>
      <c r="AM5" s="59" t="str">
        <f>VLOOKUP($AL5,$Y4:$AH22,COLUMNS($AM5:AM5)+1,FALSE)</f>
        <v>RB Leipzig</v>
      </c>
      <c r="AN5" s="59">
        <f>VLOOKUP($AL5,$Y4:$AH22,COLUMNS($AM5:AN5)+1,FALSE)</f>
        <v>24</v>
      </c>
      <c r="AO5" s="59">
        <f>VLOOKUP($AL5,$Y4:$AH22,COLUMNS($AM5:AO5)+1,FALSE)</f>
        <v>14</v>
      </c>
      <c r="AP5" s="59">
        <f>VLOOKUP($AL5,$Y4:$AH22,COLUMNS($AM5:AP5)+1,FALSE)</f>
        <v>7</v>
      </c>
      <c r="AQ5" s="59">
        <f>VLOOKUP($AL5,$Y4:$AH22,COLUMNS($AM5:AQ5)+1,FALSE)</f>
        <v>3</v>
      </c>
      <c r="AR5" s="59">
        <f>VLOOKUP($AL5,$Y4:$AH22,COLUMNS($AM5:AR5)+1,FALSE)</f>
        <v>62</v>
      </c>
      <c r="AS5" s="59">
        <f>VLOOKUP($AL5,$Y4:$AH22,COLUMNS($AM5:AS5)+1,FALSE)</f>
        <v>26</v>
      </c>
      <c r="AT5" s="59">
        <f>VLOOKUP($AL5,$Y4:$AH22,COLUMNS($AM5:AT5)+1,FALSE)</f>
        <v>36</v>
      </c>
      <c r="AU5" s="59">
        <f>VLOOKUP($AL5,$Y4:$AH22,COLUMNS($AM5:AU5)+1,FALSE)</f>
        <v>49</v>
      </c>
      <c r="AX5" s="54"/>
      <c r="AY5" s="54"/>
      <c r="AZ5" s="54"/>
      <c r="BA5" s="54"/>
      <c r="BB5" s="54"/>
      <c r="BC5" s="54"/>
      <c r="BD5" s="54"/>
      <c r="BE5" s="54"/>
      <c r="BF5" s="54"/>
      <c r="BG5" s="54"/>
      <c r="BH5" s="54"/>
      <c r="BI5" s="54"/>
      <c r="BJ5" s="54"/>
      <c r="BK5" s="54"/>
      <c r="BL5" s="54"/>
      <c r="BM5" s="54"/>
      <c r="BN5" s="54"/>
      <c r="BO5" s="54"/>
      <c r="BP5" s="54"/>
      <c r="BQ5" s="54"/>
      <c r="BR5" s="54"/>
      <c r="BS5" s="54"/>
      <c r="BT5" s="54"/>
      <c r="BU5" s="54"/>
      <c r="BV5" s="54"/>
      <c r="BW5" s="54"/>
      <c r="BX5" s="54"/>
      <c r="BY5" s="54"/>
      <c r="BZ5" s="54"/>
      <c r="CA5" s="54"/>
      <c r="CB5" s="54"/>
      <c r="CC5" s="54"/>
      <c r="CD5" s="54"/>
      <c r="CE5" s="54"/>
      <c r="CF5" s="6"/>
      <c r="CG5" s="2"/>
      <c r="CH5" s="2"/>
      <c r="CI5" s="2"/>
      <c r="CJ5" s="2"/>
    </row>
    <row r="6" spans="1:88" x14ac:dyDescent="0.25">
      <c r="A6" s="1"/>
      <c r="B6" s="2">
        <f t="shared" si="3"/>
        <v>3</v>
      </c>
      <c r="D6" s="61"/>
      <c r="F6" s="9" t="s">
        <v>83</v>
      </c>
      <c r="G6" s="10">
        <v>3</v>
      </c>
      <c r="H6" s="10">
        <v>2</v>
      </c>
      <c r="I6" s="9" t="s">
        <v>148</v>
      </c>
      <c r="J6" s="6"/>
      <c r="K6" s="61"/>
      <c r="M6" s="2">
        <f t="shared" si="0"/>
        <v>0</v>
      </c>
      <c r="O6" s="2" t="str">
        <f t="shared" si="4"/>
        <v>G</v>
      </c>
      <c r="P6" s="2" t="str">
        <f t="shared" si="5"/>
        <v>P</v>
      </c>
      <c r="S6" s="2" t="str">
        <f t="shared" si="1"/>
        <v>Bayer LeverkusenSC Paderborn 07</v>
      </c>
      <c r="T6" s="2" t="str">
        <f t="shared" si="2"/>
        <v>3-2</v>
      </c>
      <c r="Y6" s="11">
        <f>RANK(AI6,$AI$5:$AI$22,0)+COUNTIF($AI$4:AI5,AI6)</f>
        <v>10</v>
      </c>
      <c r="Z6" s="12" t="str">
        <f>CONCATENATE(EQUIPES!F7)</f>
        <v>1. FC Union Berlin</v>
      </c>
      <c r="AA6" s="11">
        <f t="shared" si="6"/>
        <v>24</v>
      </c>
      <c r="AB6" s="11">
        <f t="shared" si="7"/>
        <v>9</v>
      </c>
      <c r="AC6" s="11">
        <f t="shared" si="8"/>
        <v>3</v>
      </c>
      <c r="AD6" s="11">
        <f t="shared" si="9"/>
        <v>12</v>
      </c>
      <c r="AE6" s="11">
        <f t="shared" si="10"/>
        <v>31</v>
      </c>
      <c r="AF6" s="11">
        <f t="shared" si="11"/>
        <v>38</v>
      </c>
      <c r="AG6" s="11">
        <f t="shared" ref="AG6:AG22" si="12">+AE6-AF6</f>
        <v>-7</v>
      </c>
      <c r="AH6" s="11">
        <f t="shared" ref="AH6:AH22" si="13">(AB6*3)+AC6</f>
        <v>30</v>
      </c>
      <c r="AI6" s="11">
        <f t="shared" ref="AI6:AI22" si="14">SUM(AH6*1000+(AG6)/100+(AE6)/1000)</f>
        <v>29999.960999999999</v>
      </c>
      <c r="AJ6" s="6"/>
      <c r="AL6" s="59">
        <v>3</v>
      </c>
      <c r="AM6" s="59" t="str">
        <f>VLOOKUP($AL6,$Y4:$AH22,COLUMNS($AM6:AM6)+1,FALSE)</f>
        <v>Borussia Dortmund</v>
      </c>
      <c r="AN6" s="59">
        <f>VLOOKUP($AL6,$Y4:$AH22,COLUMNS($AM6:AN6)+1,FALSE)</f>
        <v>24</v>
      </c>
      <c r="AO6" s="59">
        <f>VLOOKUP($AL6,$Y4:$AH22,COLUMNS($AM6:AO6)+1,FALSE)</f>
        <v>14</v>
      </c>
      <c r="AP6" s="59">
        <f>VLOOKUP($AL6,$Y4:$AH22,COLUMNS($AM6:AP6)+1,FALSE)</f>
        <v>6</v>
      </c>
      <c r="AQ6" s="59">
        <f>VLOOKUP($AL6,$Y4:$AH22,COLUMNS($AM6:AQ6)+1,FALSE)</f>
        <v>4</v>
      </c>
      <c r="AR6" s="59">
        <f>VLOOKUP($AL6,$Y4:$AH22,COLUMNS($AM6:AR6)+1,FALSE)</f>
        <v>66</v>
      </c>
      <c r="AS6" s="59">
        <f>VLOOKUP($AL6,$Y4:$AH22,COLUMNS($AM6:AS6)+1,FALSE)</f>
        <v>32</v>
      </c>
      <c r="AT6" s="59">
        <f>VLOOKUP($AL6,$Y4:$AH22,COLUMNS($AM6:AT6)+1,FALSE)</f>
        <v>34</v>
      </c>
      <c r="AU6" s="59">
        <f>VLOOKUP($AL6,$Y4:$AH22,COLUMNS($AM6:AU6)+1,FALSE)</f>
        <v>48</v>
      </c>
      <c r="AW6" s="16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  <c r="CC6" s="54"/>
      <c r="CD6" s="54"/>
      <c r="CE6" s="54"/>
      <c r="CF6" s="6"/>
      <c r="CG6" s="2"/>
      <c r="CH6" s="2"/>
      <c r="CI6" s="2"/>
      <c r="CJ6" s="2"/>
    </row>
    <row r="7" spans="1:88" x14ac:dyDescent="0.25">
      <c r="A7" s="1"/>
      <c r="B7" s="2">
        <f t="shared" si="3"/>
        <v>3</v>
      </c>
      <c r="D7" s="61"/>
      <c r="F7" s="9" t="s">
        <v>85</v>
      </c>
      <c r="G7" s="10">
        <v>2</v>
      </c>
      <c r="H7" s="10">
        <v>1</v>
      </c>
      <c r="I7" s="9" t="s">
        <v>161</v>
      </c>
      <c r="J7" s="6"/>
      <c r="K7" s="61"/>
      <c r="M7" s="2">
        <f t="shared" si="0"/>
        <v>0</v>
      </c>
      <c r="O7" s="2" t="str">
        <f t="shared" si="4"/>
        <v>G</v>
      </c>
      <c r="P7" s="2" t="str">
        <f t="shared" si="5"/>
        <v>P</v>
      </c>
      <c r="S7" s="2" t="str">
        <f t="shared" si="1"/>
        <v>VfL Wolfsburg1. FC Köln</v>
      </c>
      <c r="T7" s="2" t="str">
        <f t="shared" si="2"/>
        <v>2-1</v>
      </c>
      <c r="Y7" s="11">
        <f>RANK(AI7,$AI$5:$AI$22,0)+COUNTIF($AI$4:AI6,AI7)</f>
        <v>15</v>
      </c>
      <c r="Z7" s="12" t="str">
        <f>CONCATENATE(EQUIPES!F8)</f>
        <v>1. FSV Mainz 05</v>
      </c>
      <c r="AA7" s="11">
        <f t="shared" si="6"/>
        <v>24</v>
      </c>
      <c r="AB7" s="11">
        <f t="shared" si="7"/>
        <v>8</v>
      </c>
      <c r="AC7" s="11">
        <f t="shared" si="8"/>
        <v>1</v>
      </c>
      <c r="AD7" s="11">
        <f t="shared" si="9"/>
        <v>15</v>
      </c>
      <c r="AE7" s="11">
        <f t="shared" si="10"/>
        <v>33</v>
      </c>
      <c r="AF7" s="11">
        <f t="shared" si="11"/>
        <v>52</v>
      </c>
      <c r="AG7" s="11">
        <f t="shared" si="12"/>
        <v>-19</v>
      </c>
      <c r="AH7" s="11">
        <f t="shared" si="13"/>
        <v>25</v>
      </c>
      <c r="AI7" s="11">
        <f t="shared" si="14"/>
        <v>24999.843000000001</v>
      </c>
      <c r="AJ7" s="6"/>
      <c r="AL7" s="59">
        <v>4</v>
      </c>
      <c r="AM7" s="59" t="str">
        <f>VLOOKUP($AL7,$Y4:$AH22,COLUMNS($AM7:AM7)+1,FALSE)</f>
        <v>Bor. Mönchengladbach</v>
      </c>
      <c r="AN7" s="59">
        <f>VLOOKUP($AL7,$Y4:$AH22,COLUMNS($AM7:AN7)+1,FALSE)</f>
        <v>23</v>
      </c>
      <c r="AO7" s="59">
        <f>VLOOKUP($AL7,$Y4:$AH22,COLUMNS($AM7:AO7)+1,FALSE)</f>
        <v>14</v>
      </c>
      <c r="AP7" s="59">
        <f>VLOOKUP($AL7,$Y4:$AH22,COLUMNS($AM7:AP7)+1,FALSE)</f>
        <v>4</v>
      </c>
      <c r="AQ7" s="59">
        <f>VLOOKUP($AL7,$Y4:$AH22,COLUMNS($AM7:AQ7)+1,FALSE)</f>
        <v>5</v>
      </c>
      <c r="AR7" s="59">
        <f>VLOOKUP($AL7,$Y4:$AH22,COLUMNS($AM7:AR7)+1,FALSE)</f>
        <v>46</v>
      </c>
      <c r="AS7" s="59">
        <f>VLOOKUP($AL7,$Y4:$AH22,COLUMNS($AM7:AS7)+1,FALSE)</f>
        <v>27</v>
      </c>
      <c r="AT7" s="59">
        <f>VLOOKUP($AL7,$Y4:$AH22,COLUMNS($AM7:AT7)+1,FALSE)</f>
        <v>19</v>
      </c>
      <c r="AU7" s="59">
        <f>VLOOKUP($AL7,$Y4:$AH22,COLUMNS($AM7:AU7)+1,FALSE)</f>
        <v>46</v>
      </c>
      <c r="CF7" s="6"/>
      <c r="CG7" s="2"/>
      <c r="CH7" s="2"/>
      <c r="CI7" s="2"/>
      <c r="CJ7" s="2"/>
    </row>
    <row r="8" spans="1:88" x14ac:dyDescent="0.25">
      <c r="A8" s="1"/>
      <c r="B8" s="2">
        <f t="shared" si="3"/>
        <v>0</v>
      </c>
      <c r="D8" s="61"/>
      <c r="F8" s="9" t="s">
        <v>87</v>
      </c>
      <c r="G8" s="10">
        <v>1</v>
      </c>
      <c r="H8" s="10">
        <v>3</v>
      </c>
      <c r="I8" s="9" t="s">
        <v>89</v>
      </c>
      <c r="J8" s="6"/>
      <c r="K8" s="61"/>
      <c r="M8" s="2">
        <f t="shared" si="0"/>
        <v>3</v>
      </c>
      <c r="O8" s="2" t="str">
        <f t="shared" si="4"/>
        <v>P</v>
      </c>
      <c r="P8" s="2" t="str">
        <f t="shared" si="5"/>
        <v>G</v>
      </c>
      <c r="S8" s="2" t="str">
        <f t="shared" si="1"/>
        <v>Werder BremenFortuna Düsseldorf</v>
      </c>
      <c r="T8" s="2" t="str">
        <f t="shared" si="2"/>
        <v>1-3</v>
      </c>
      <c r="Y8" s="11">
        <f>RANK(AI8,$AI$5:$AI$22,0)+COUNTIF($AI$4:AI7,AI8)</f>
        <v>8</v>
      </c>
      <c r="Z8" s="12" t="str">
        <f>CONCATENATE(EQUIPES!F9)</f>
        <v>1899 Hoffenheim</v>
      </c>
      <c r="AA8" s="11">
        <f t="shared" si="6"/>
        <v>24</v>
      </c>
      <c r="AB8" s="11">
        <f t="shared" si="7"/>
        <v>10</v>
      </c>
      <c r="AC8" s="11">
        <f t="shared" si="8"/>
        <v>4</v>
      </c>
      <c r="AD8" s="11">
        <f t="shared" si="9"/>
        <v>10</v>
      </c>
      <c r="AE8" s="11">
        <f t="shared" si="10"/>
        <v>34</v>
      </c>
      <c r="AF8" s="11">
        <f t="shared" si="11"/>
        <v>42</v>
      </c>
      <c r="AG8" s="11">
        <f t="shared" si="12"/>
        <v>-8</v>
      </c>
      <c r="AH8" s="11">
        <f t="shared" si="13"/>
        <v>34</v>
      </c>
      <c r="AI8" s="11">
        <f t="shared" si="14"/>
        <v>33999.953999999998</v>
      </c>
      <c r="AJ8" s="6"/>
      <c r="AL8" s="59">
        <v>5</v>
      </c>
      <c r="AM8" s="59" t="str">
        <f>VLOOKUP($AL8,$Y4:$AH22,COLUMNS($AM8:AM8)+1,FALSE)</f>
        <v>Bayer Leverkusen</v>
      </c>
      <c r="AN8" s="59">
        <f>VLOOKUP($AL8,$Y4:$AH22,COLUMNS($AM8:AN8)+1,FALSE)</f>
        <v>24</v>
      </c>
      <c r="AO8" s="59">
        <f>VLOOKUP($AL8,$Y4:$AH22,COLUMNS($AM8:AO8)+1,FALSE)</f>
        <v>13</v>
      </c>
      <c r="AP8" s="59">
        <f>VLOOKUP($AL8,$Y4:$AH22,COLUMNS($AM8:AP8)+1,FALSE)</f>
        <v>5</v>
      </c>
      <c r="AQ8" s="59">
        <f>VLOOKUP($AL8,$Y4:$AH22,COLUMNS($AM8:AQ8)+1,FALSE)</f>
        <v>6</v>
      </c>
      <c r="AR8" s="59">
        <f>VLOOKUP($AL8,$Y4:$AH22,COLUMNS($AM8:AR8)+1,FALSE)</f>
        <v>41</v>
      </c>
      <c r="AS8" s="59">
        <f>VLOOKUP($AL8,$Y4:$AH22,COLUMNS($AM8:AS8)+1,FALSE)</f>
        <v>30</v>
      </c>
      <c r="AT8" s="59">
        <f>VLOOKUP($AL8,$Y4:$AH22,COLUMNS($AM8:AT8)+1,FALSE)</f>
        <v>11</v>
      </c>
      <c r="AU8" s="59">
        <f>VLOOKUP($AL8,$Y4:$AH22,COLUMNS($AM8:AU8)+1,FALSE)</f>
        <v>44</v>
      </c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6"/>
      <c r="CG8" s="2"/>
      <c r="CH8" s="2"/>
      <c r="CI8" s="2"/>
      <c r="CJ8" s="2"/>
    </row>
    <row r="9" spans="1:88" x14ac:dyDescent="0.25">
      <c r="A9" s="1"/>
      <c r="B9" s="2">
        <f t="shared" si="3"/>
        <v>3</v>
      </c>
      <c r="D9" s="61"/>
      <c r="F9" s="9" t="s">
        <v>91</v>
      </c>
      <c r="G9" s="10">
        <v>3</v>
      </c>
      <c r="H9" s="10">
        <v>0</v>
      </c>
      <c r="I9" s="9" t="s">
        <v>90</v>
      </c>
      <c r="J9" s="6"/>
      <c r="K9" s="61"/>
      <c r="M9" s="2">
        <f t="shared" si="0"/>
        <v>0</v>
      </c>
      <c r="O9" s="2" t="str">
        <f t="shared" si="4"/>
        <v>G</v>
      </c>
      <c r="P9" s="2" t="str">
        <f t="shared" si="5"/>
        <v>P</v>
      </c>
      <c r="S9" s="2" t="str">
        <f t="shared" si="1"/>
        <v>SC Freiburg1. FSV Mainz 05</v>
      </c>
      <c r="T9" s="2" t="str">
        <f t="shared" si="2"/>
        <v>3-0</v>
      </c>
      <c r="Y9" s="11">
        <f>RANK(AI9,$AI$5:$AI$22,0)+COUNTIF($AI$4:AI8,AI9)</f>
        <v>5</v>
      </c>
      <c r="Z9" s="12" t="str">
        <f>CONCATENATE(EQUIPES!F10)</f>
        <v>Bayer Leverkusen</v>
      </c>
      <c r="AA9" s="11">
        <f t="shared" si="6"/>
        <v>24</v>
      </c>
      <c r="AB9" s="11">
        <f t="shared" si="7"/>
        <v>13</v>
      </c>
      <c r="AC9" s="11">
        <f t="shared" si="8"/>
        <v>5</v>
      </c>
      <c r="AD9" s="11">
        <f t="shared" si="9"/>
        <v>6</v>
      </c>
      <c r="AE9" s="11">
        <f t="shared" si="10"/>
        <v>41</v>
      </c>
      <c r="AF9" s="11">
        <f t="shared" si="11"/>
        <v>30</v>
      </c>
      <c r="AG9" s="11">
        <f t="shared" si="12"/>
        <v>11</v>
      </c>
      <c r="AH9" s="11">
        <f t="shared" si="13"/>
        <v>44</v>
      </c>
      <c r="AI9" s="11">
        <f t="shared" si="14"/>
        <v>44000.150999999998</v>
      </c>
      <c r="AJ9" s="6"/>
      <c r="AL9" s="59">
        <v>6</v>
      </c>
      <c r="AM9" s="59" t="str">
        <f>VLOOKUP($AL9,$Y4:$AH22,COLUMNS($AM9:AM9)+1,FALSE)</f>
        <v>FC Schalke 04</v>
      </c>
      <c r="AN9" s="59">
        <f>VLOOKUP($AL9,$Y4:$AH22,COLUMNS($AM9:AN9)+1,FALSE)</f>
        <v>24</v>
      </c>
      <c r="AO9" s="59">
        <f>VLOOKUP($AL9,$Y4:$AH22,COLUMNS($AM9:AO9)+1,FALSE)</f>
        <v>9</v>
      </c>
      <c r="AP9" s="59">
        <f>VLOOKUP($AL9,$Y4:$AH22,COLUMNS($AM9:AP9)+1,FALSE)</f>
        <v>9</v>
      </c>
      <c r="AQ9" s="59">
        <f>VLOOKUP($AL9,$Y4:$AH22,COLUMNS($AM9:AQ9)+1,FALSE)</f>
        <v>6</v>
      </c>
      <c r="AR9" s="59">
        <f>VLOOKUP($AL9,$Y4:$AH22,COLUMNS($AM9:AR9)+1,FALSE)</f>
        <v>32</v>
      </c>
      <c r="AS9" s="59">
        <f>VLOOKUP($AL9,$Y4:$AH22,COLUMNS($AM9:AS9)+1,FALSE)</f>
        <v>35</v>
      </c>
      <c r="AT9" s="59">
        <f>VLOOKUP($AL9,$Y4:$AH22,COLUMNS($AM9:AT9)+1,FALSE)</f>
        <v>-3</v>
      </c>
      <c r="AU9" s="59">
        <f>VLOOKUP($AL9,$Y4:$AH22,COLUMNS($AM9:AU9)+1,FALSE)</f>
        <v>36</v>
      </c>
      <c r="AW9" s="16"/>
      <c r="AX9" s="54"/>
      <c r="AY9" s="54"/>
      <c r="AZ9" s="54"/>
      <c r="BA9" s="54"/>
      <c r="BB9" s="54"/>
      <c r="BC9" s="54"/>
      <c r="BD9" s="54"/>
      <c r="BE9" s="54"/>
      <c r="BF9" s="54"/>
      <c r="BG9" s="54"/>
      <c r="BH9" s="54"/>
      <c r="BI9" s="54"/>
      <c r="BJ9" s="54"/>
      <c r="BK9" s="54"/>
      <c r="BL9" s="54"/>
      <c r="BM9" s="54"/>
      <c r="BN9" s="54"/>
      <c r="BO9" s="54"/>
      <c r="BP9" s="54"/>
      <c r="BQ9" s="54"/>
      <c r="BR9" s="54"/>
      <c r="BS9" s="54"/>
      <c r="BT9" s="54"/>
      <c r="BU9" s="54"/>
      <c r="BV9" s="54"/>
      <c r="BW9" s="54"/>
      <c r="BX9" s="54"/>
      <c r="BY9" s="54"/>
      <c r="BZ9" s="54"/>
      <c r="CA9" s="54"/>
      <c r="CB9" s="54"/>
      <c r="CC9" s="54"/>
      <c r="CD9" s="54"/>
      <c r="CE9" s="54"/>
      <c r="CF9" s="6"/>
      <c r="CG9" s="2"/>
      <c r="CH9" s="2"/>
      <c r="CI9" s="2"/>
      <c r="CJ9" s="2"/>
    </row>
    <row r="10" spans="1:88" x14ac:dyDescent="0.25">
      <c r="A10" s="1"/>
      <c r="B10" s="2">
        <f t="shared" si="3"/>
        <v>1</v>
      </c>
      <c r="D10" s="61"/>
      <c r="F10" s="9" t="s">
        <v>82</v>
      </c>
      <c r="G10" s="10">
        <v>0</v>
      </c>
      <c r="H10" s="10">
        <v>0</v>
      </c>
      <c r="I10" s="9" t="s">
        <v>93</v>
      </c>
      <c r="J10" s="6"/>
      <c r="K10" s="61"/>
      <c r="M10" s="2">
        <f t="shared" si="0"/>
        <v>1</v>
      </c>
      <c r="O10" s="2" t="str">
        <f t="shared" si="4"/>
        <v>N</v>
      </c>
      <c r="P10" s="2" t="str">
        <f t="shared" si="5"/>
        <v>N</v>
      </c>
      <c r="S10" s="2" t="str">
        <f t="shared" si="1"/>
        <v>Bor. MönchengladbachFC Schalke 04</v>
      </c>
      <c r="T10" s="2" t="str">
        <f t="shared" si="2"/>
        <v>0-0</v>
      </c>
      <c r="Y10" s="11">
        <f>RANK(AI10,$AI$5:$AI$22,0)+COUNTIF($AI$4:AI9,AI10)</f>
        <v>1</v>
      </c>
      <c r="Z10" s="12" t="str">
        <f>CONCATENATE(EQUIPES!F11)</f>
        <v>Bayern München</v>
      </c>
      <c r="AA10" s="11">
        <f t="shared" si="6"/>
        <v>24</v>
      </c>
      <c r="AB10" s="11">
        <f t="shared" si="7"/>
        <v>16</v>
      </c>
      <c r="AC10" s="11">
        <f t="shared" si="8"/>
        <v>4</v>
      </c>
      <c r="AD10" s="11">
        <f t="shared" si="9"/>
        <v>4</v>
      </c>
      <c r="AE10" s="11">
        <f t="shared" si="10"/>
        <v>71</v>
      </c>
      <c r="AF10" s="11">
        <f t="shared" si="11"/>
        <v>26</v>
      </c>
      <c r="AG10" s="11">
        <f t="shared" si="12"/>
        <v>45</v>
      </c>
      <c r="AH10" s="11">
        <f t="shared" si="13"/>
        <v>52</v>
      </c>
      <c r="AI10" s="11">
        <f t="shared" si="14"/>
        <v>52000.521000000001</v>
      </c>
      <c r="AJ10" s="6"/>
      <c r="AL10" s="59">
        <v>7</v>
      </c>
      <c r="AM10" s="59" t="str">
        <f>VLOOKUP($AL10,$Y4:$AH22,COLUMNS($AM10:AM10)+1,FALSE)</f>
        <v>VfL Wolfsburg</v>
      </c>
      <c r="AN10" s="59">
        <f>VLOOKUP($AL10,$Y4:$AH22,COLUMNS($AM10:AN10)+1,FALSE)</f>
        <v>24</v>
      </c>
      <c r="AO10" s="59">
        <f>VLOOKUP($AL10,$Y4:$AH22,COLUMNS($AM10:AO10)+1,FALSE)</f>
        <v>9</v>
      </c>
      <c r="AP10" s="59">
        <f>VLOOKUP($AL10,$Y4:$AH22,COLUMNS($AM10:AP10)+1,FALSE)</f>
        <v>8</v>
      </c>
      <c r="AQ10" s="59">
        <f>VLOOKUP($AL10,$Y4:$AH22,COLUMNS($AM10:AQ10)+1,FALSE)</f>
        <v>7</v>
      </c>
      <c r="AR10" s="59">
        <f>VLOOKUP($AL10,$Y4:$AH22,COLUMNS($AM10:AR10)+1,FALSE)</f>
        <v>34</v>
      </c>
      <c r="AS10" s="59">
        <f>VLOOKUP($AL10,$Y4:$AH22,COLUMNS($AM10:AS10)+1,FALSE)</f>
        <v>30</v>
      </c>
      <c r="AT10" s="59">
        <f>VLOOKUP($AL10,$Y4:$AH22,COLUMNS($AM10:AT10)+1,FALSE)</f>
        <v>4</v>
      </c>
      <c r="AU10" s="59">
        <f>VLOOKUP($AL10,$Y4:$AH22,COLUMNS($AM10:AU10)+1,FALSE)</f>
        <v>35</v>
      </c>
      <c r="AW10" s="16"/>
      <c r="AX10" s="54"/>
      <c r="AY10" s="54"/>
      <c r="AZ10" s="54"/>
      <c r="BA10" s="54"/>
      <c r="BB10" s="54"/>
      <c r="BC10" s="54"/>
      <c r="BD10" s="54"/>
      <c r="BE10" s="54"/>
      <c r="BF10" s="54"/>
      <c r="BG10" s="54"/>
      <c r="BH10" s="54"/>
      <c r="BI10" s="54"/>
      <c r="BJ10" s="54"/>
      <c r="BK10" s="54"/>
      <c r="BL10" s="54"/>
      <c r="BM10" s="54"/>
      <c r="BN10" s="54"/>
      <c r="BO10" s="54"/>
      <c r="BP10" s="54"/>
      <c r="BQ10" s="54"/>
      <c r="BR10" s="54"/>
      <c r="BS10" s="54"/>
      <c r="BT10" s="54"/>
      <c r="BU10" s="54"/>
      <c r="BV10" s="54"/>
      <c r="BW10" s="54"/>
      <c r="BX10" s="54"/>
      <c r="BY10" s="54"/>
      <c r="BZ10" s="54"/>
      <c r="CA10" s="54"/>
      <c r="CB10" s="54"/>
      <c r="CC10" s="54"/>
      <c r="CD10" s="54"/>
      <c r="CE10" s="54"/>
      <c r="CF10" s="6"/>
      <c r="CG10" s="2"/>
      <c r="CH10" s="2"/>
      <c r="CI10" s="2"/>
      <c r="CJ10" s="2"/>
    </row>
    <row r="11" spans="1:88" x14ac:dyDescent="0.25">
      <c r="A11" s="1"/>
      <c r="B11" s="2">
        <f t="shared" si="3"/>
        <v>3</v>
      </c>
      <c r="D11" s="61"/>
      <c r="F11" s="9" t="s">
        <v>84</v>
      </c>
      <c r="G11" s="10">
        <v>1</v>
      </c>
      <c r="H11" s="10">
        <v>0</v>
      </c>
      <c r="I11" s="9" t="s">
        <v>86</v>
      </c>
      <c r="J11" s="6"/>
      <c r="K11" s="61"/>
      <c r="M11" s="2">
        <f t="shared" si="0"/>
        <v>0</v>
      </c>
      <c r="O11" s="2" t="str">
        <f t="shared" si="4"/>
        <v>G</v>
      </c>
      <c r="P11" s="2" t="str">
        <f t="shared" si="5"/>
        <v>P</v>
      </c>
      <c r="S11" s="2" t="str">
        <f t="shared" si="1"/>
        <v>Eintracht Frankfurt1899 Hoffenheim</v>
      </c>
      <c r="T11" s="2" t="str">
        <f t="shared" si="2"/>
        <v>1-0</v>
      </c>
      <c r="Y11" s="11">
        <f>RANK(AI11,$AI$5:$AI$22,0)+COUNTIF($AI$4:AI10,AI11)</f>
        <v>4</v>
      </c>
      <c r="Z11" s="12" t="str">
        <f>CONCATENATE(EQUIPES!F12)</f>
        <v>Bor. Mönchengladbach</v>
      </c>
      <c r="AA11" s="11">
        <f t="shared" si="6"/>
        <v>23</v>
      </c>
      <c r="AB11" s="11">
        <f t="shared" si="7"/>
        <v>14</v>
      </c>
      <c r="AC11" s="11">
        <f t="shared" si="8"/>
        <v>4</v>
      </c>
      <c r="AD11" s="11">
        <f t="shared" si="9"/>
        <v>5</v>
      </c>
      <c r="AE11" s="11">
        <f t="shared" si="10"/>
        <v>46</v>
      </c>
      <c r="AF11" s="11">
        <f t="shared" si="11"/>
        <v>27</v>
      </c>
      <c r="AG11" s="11">
        <f t="shared" si="12"/>
        <v>19</v>
      </c>
      <c r="AH11" s="11">
        <f t="shared" si="13"/>
        <v>46</v>
      </c>
      <c r="AI11" s="11">
        <f t="shared" si="14"/>
        <v>46000.236000000004</v>
      </c>
      <c r="AJ11" s="6"/>
      <c r="AL11" s="59">
        <v>8</v>
      </c>
      <c r="AM11" s="59" t="str">
        <f>VLOOKUP($AL11,$Y4:$AH22,COLUMNS($AM11:AM11)+1,FALSE)</f>
        <v>1899 Hoffenheim</v>
      </c>
      <c r="AN11" s="59">
        <f>VLOOKUP($AL11,$Y4:$AH22,COLUMNS($AM11:AN11)+1,FALSE)</f>
        <v>24</v>
      </c>
      <c r="AO11" s="59">
        <f>VLOOKUP($AL11,$Y4:$AH22,COLUMNS($AM11:AO11)+1,FALSE)</f>
        <v>10</v>
      </c>
      <c r="AP11" s="59">
        <f>VLOOKUP($AL11,$Y4:$AH22,COLUMNS($AM11:AP11)+1,FALSE)</f>
        <v>4</v>
      </c>
      <c r="AQ11" s="59">
        <f>VLOOKUP($AL11,$Y4:$AH22,COLUMNS($AM11:AQ11)+1,FALSE)</f>
        <v>10</v>
      </c>
      <c r="AR11" s="59">
        <f>VLOOKUP($AL11,$Y4:$AH22,COLUMNS($AM11:AR11)+1,FALSE)</f>
        <v>34</v>
      </c>
      <c r="AS11" s="59">
        <f>VLOOKUP($AL11,$Y4:$AH22,COLUMNS($AM11:AS11)+1,FALSE)</f>
        <v>42</v>
      </c>
      <c r="AT11" s="59">
        <f>VLOOKUP($AL11,$Y4:$AH22,COLUMNS($AM11:AT11)+1,FALSE)</f>
        <v>-8</v>
      </c>
      <c r="AU11" s="59">
        <f>VLOOKUP($AL11,$Y4:$AH22,COLUMNS($AM11:AU11)+1,FALSE)</f>
        <v>34</v>
      </c>
      <c r="CF11" s="6"/>
      <c r="CG11" s="2"/>
      <c r="CH11" s="2"/>
      <c r="CI11" s="2"/>
      <c r="CJ11" s="2"/>
    </row>
    <row r="12" spans="1:88" x14ac:dyDescent="0.25">
      <c r="A12" s="1"/>
      <c r="B12" s="2">
        <f t="shared" si="3"/>
        <v>0</v>
      </c>
      <c r="D12" s="61"/>
      <c r="F12" s="9" t="s">
        <v>162</v>
      </c>
      <c r="G12" s="10">
        <v>0</v>
      </c>
      <c r="H12" s="10">
        <v>4</v>
      </c>
      <c r="I12" s="9" t="s">
        <v>81</v>
      </c>
      <c r="J12" s="6"/>
      <c r="K12" s="61"/>
      <c r="M12" s="2">
        <f t="shared" si="0"/>
        <v>3</v>
      </c>
      <c r="O12" s="2" t="str">
        <f t="shared" si="4"/>
        <v>P</v>
      </c>
      <c r="P12" s="2" t="str">
        <f t="shared" si="5"/>
        <v>G</v>
      </c>
      <c r="S12" s="2" t="str">
        <f t="shared" si="1"/>
        <v>1. FC Union BerlinRB Leipzig</v>
      </c>
      <c r="T12" s="2" t="str">
        <f t="shared" si="2"/>
        <v>0-4</v>
      </c>
      <c r="Y12" s="11">
        <f>RANK(AI12,$AI$5:$AI$22,0)+COUNTIF($AI$4:AI11,AI12)</f>
        <v>3</v>
      </c>
      <c r="Z12" s="12" t="str">
        <f>CONCATENATE(EQUIPES!F13)</f>
        <v>Borussia Dortmund</v>
      </c>
      <c r="AA12" s="11">
        <f t="shared" si="6"/>
        <v>24</v>
      </c>
      <c r="AB12" s="11">
        <f t="shared" si="7"/>
        <v>14</v>
      </c>
      <c r="AC12" s="11">
        <f t="shared" si="8"/>
        <v>6</v>
      </c>
      <c r="AD12" s="11">
        <f t="shared" si="9"/>
        <v>4</v>
      </c>
      <c r="AE12" s="11">
        <f t="shared" si="10"/>
        <v>66</v>
      </c>
      <c r="AF12" s="11">
        <f t="shared" si="11"/>
        <v>32</v>
      </c>
      <c r="AG12" s="11">
        <f t="shared" si="12"/>
        <v>34</v>
      </c>
      <c r="AH12" s="11">
        <f t="shared" si="13"/>
        <v>48</v>
      </c>
      <c r="AI12" s="11">
        <f t="shared" si="14"/>
        <v>48000.405999999995</v>
      </c>
      <c r="AJ12" s="6"/>
      <c r="AL12" s="59">
        <v>9</v>
      </c>
      <c r="AM12" s="59" t="str">
        <f>VLOOKUP($AL12,$Y4:$AH22,COLUMNS($AM12:AM12)+1,FALSE)</f>
        <v>SC Freiburg</v>
      </c>
      <c r="AN12" s="59">
        <f>VLOOKUP($AL12,$Y4:$AH22,COLUMNS($AM12:AN12)+1,FALSE)</f>
        <v>24</v>
      </c>
      <c r="AO12" s="59">
        <f>VLOOKUP($AL12,$Y4:$AH22,COLUMNS($AM12:AO12)+1,FALSE)</f>
        <v>9</v>
      </c>
      <c r="AP12" s="59">
        <f>VLOOKUP($AL12,$Y4:$AH22,COLUMNS($AM12:AP12)+1,FALSE)</f>
        <v>6</v>
      </c>
      <c r="AQ12" s="59">
        <f>VLOOKUP($AL12,$Y4:$AH22,COLUMNS($AM12:AQ12)+1,FALSE)</f>
        <v>9</v>
      </c>
      <c r="AR12" s="59">
        <f>VLOOKUP($AL12,$Y4:$AH22,COLUMNS($AM12:AR12)+1,FALSE)</f>
        <v>31</v>
      </c>
      <c r="AS12" s="59">
        <f>VLOOKUP($AL12,$Y4:$AH22,COLUMNS($AM12:AS12)+1,FALSE)</f>
        <v>34</v>
      </c>
      <c r="AT12" s="59">
        <f>VLOOKUP($AL12,$Y4:$AH22,COLUMNS($AM12:AT12)+1,FALSE)</f>
        <v>-3</v>
      </c>
      <c r="AU12" s="59">
        <f>VLOOKUP($AL12,$Y4:$AH22,COLUMNS($AM12:AU12)+1,FALSE)</f>
        <v>33</v>
      </c>
      <c r="CF12" s="6"/>
      <c r="CG12" s="2"/>
      <c r="CH12" s="2"/>
      <c r="CI12" s="2"/>
      <c r="CJ12" s="2"/>
    </row>
    <row r="13" spans="1:88" x14ac:dyDescent="0.25">
      <c r="A13" s="1"/>
      <c r="F13" s="107"/>
      <c r="G13" s="108"/>
      <c r="H13" s="108"/>
      <c r="I13" s="107"/>
      <c r="J13" s="6"/>
      <c r="O13" s="2" t="str">
        <f t="shared" si="4"/>
        <v/>
      </c>
      <c r="P13" s="2" t="str">
        <f t="shared" si="5"/>
        <v/>
      </c>
      <c r="Y13" s="11">
        <f>RANK(AI13,$AI$5:$AI$22,0)+COUNTIF($AI$4:AI12,AI13)</f>
        <v>12</v>
      </c>
      <c r="Z13" s="12" t="str">
        <f>CONCATENATE(EQUIPES!F14)</f>
        <v>Eintracht Frankfurt</v>
      </c>
      <c r="AA13" s="11">
        <f t="shared" si="6"/>
        <v>23</v>
      </c>
      <c r="AB13" s="11">
        <f t="shared" si="7"/>
        <v>8</v>
      </c>
      <c r="AC13" s="11">
        <f t="shared" si="8"/>
        <v>4</v>
      </c>
      <c r="AD13" s="11">
        <f t="shared" si="9"/>
        <v>11</v>
      </c>
      <c r="AE13" s="11">
        <f t="shared" si="10"/>
        <v>38</v>
      </c>
      <c r="AF13" s="11">
        <f t="shared" si="11"/>
        <v>37</v>
      </c>
      <c r="AG13" s="11">
        <f t="shared" si="12"/>
        <v>1</v>
      </c>
      <c r="AH13" s="11">
        <f t="shared" si="13"/>
        <v>28</v>
      </c>
      <c r="AI13" s="11">
        <f t="shared" si="14"/>
        <v>28000.047999999999</v>
      </c>
      <c r="AJ13" s="6"/>
      <c r="AL13" s="59">
        <v>10</v>
      </c>
      <c r="AM13" s="59" t="str">
        <f>VLOOKUP($AL13,$Y4:$AH22,COLUMNS($AM13:AM13)+1,FALSE)</f>
        <v>1. FC Union Berlin</v>
      </c>
      <c r="AN13" s="59">
        <f>VLOOKUP($AL13,$Y4:$AH22,COLUMNS($AM13:AN13)+1,FALSE)</f>
        <v>24</v>
      </c>
      <c r="AO13" s="59">
        <f>VLOOKUP($AL13,$Y4:$AH22,COLUMNS($AM13:AO13)+1,FALSE)</f>
        <v>9</v>
      </c>
      <c r="AP13" s="59">
        <f>VLOOKUP($AL13,$Y4:$AH22,COLUMNS($AM13:AP13)+1,FALSE)</f>
        <v>3</v>
      </c>
      <c r="AQ13" s="59">
        <f>VLOOKUP($AL13,$Y4:$AH22,COLUMNS($AM13:AQ13)+1,FALSE)</f>
        <v>12</v>
      </c>
      <c r="AR13" s="59">
        <f>VLOOKUP($AL13,$Y4:$AH22,COLUMNS($AM13:AR13)+1,FALSE)</f>
        <v>31</v>
      </c>
      <c r="AS13" s="59">
        <f>VLOOKUP($AL13,$Y4:$AH22,COLUMNS($AM13:AS13)+1,FALSE)</f>
        <v>38</v>
      </c>
      <c r="AT13" s="59">
        <f>VLOOKUP($AL13,$Y4:$AH22,COLUMNS($AM13:AT13)+1,FALSE)</f>
        <v>-7</v>
      </c>
      <c r="AU13" s="59">
        <f>VLOOKUP($AL13,$Y4:$AH22,COLUMNS($AM13:AU13)+1,FALSE)</f>
        <v>30</v>
      </c>
      <c r="AW13" s="16"/>
      <c r="AX13" s="54"/>
      <c r="AY13" s="54"/>
      <c r="AZ13" s="54"/>
      <c r="CC13" s="54"/>
      <c r="CD13" s="54"/>
      <c r="CE13" s="54"/>
      <c r="CF13" s="2"/>
      <c r="CG13" s="2"/>
    </row>
    <row r="14" spans="1:88" x14ac:dyDescent="0.25">
      <c r="A14" s="1"/>
      <c r="B14" s="2" t="str">
        <f t="shared" si="3"/>
        <v/>
      </c>
      <c r="D14" s="62" t="s">
        <v>74</v>
      </c>
      <c r="E14" s="15"/>
      <c r="F14" s="154" t="s">
        <v>156</v>
      </c>
      <c r="G14" s="154"/>
      <c r="H14" s="154"/>
      <c r="I14" s="154"/>
      <c r="J14" s="2"/>
      <c r="M14" s="2" t="str">
        <f t="shared" ref="M14:M23" si="15">IF(H14="","",IF(H14&gt;G14,3,IF(H14=G14,1,0)))</f>
        <v/>
      </c>
      <c r="O14" s="2" t="str">
        <f t="shared" si="4"/>
        <v/>
      </c>
      <c r="P14" s="2" t="str">
        <f t="shared" si="5"/>
        <v/>
      </c>
      <c r="Y14" s="11">
        <f>RANK(AI14,$AI$5:$AI$22,0)+COUNTIF($AI$4:AI13,AI14)</f>
        <v>13</v>
      </c>
      <c r="Z14" s="12" t="str">
        <f>CONCATENATE(EQUIPES!F15)</f>
        <v>FC Augsburg</v>
      </c>
      <c r="AA14" s="11">
        <f t="shared" si="6"/>
        <v>24</v>
      </c>
      <c r="AB14" s="11">
        <f t="shared" si="7"/>
        <v>7</v>
      </c>
      <c r="AC14" s="11">
        <f t="shared" si="8"/>
        <v>6</v>
      </c>
      <c r="AD14" s="11">
        <f t="shared" si="9"/>
        <v>11</v>
      </c>
      <c r="AE14" s="11">
        <f t="shared" si="10"/>
        <v>36</v>
      </c>
      <c r="AF14" s="11">
        <f t="shared" si="11"/>
        <v>50</v>
      </c>
      <c r="AG14" s="11">
        <f t="shared" si="12"/>
        <v>-14</v>
      </c>
      <c r="AH14" s="11">
        <f t="shared" si="13"/>
        <v>27</v>
      </c>
      <c r="AI14" s="11">
        <f t="shared" si="14"/>
        <v>26999.896000000001</v>
      </c>
      <c r="AJ14" s="6"/>
      <c r="AL14" s="59">
        <v>11</v>
      </c>
      <c r="AM14" s="59" t="str">
        <f>VLOOKUP($AL14,$Y4:$AH22,COLUMNS($AM14:AM14)+1,FALSE)</f>
        <v>1. FC Köln</v>
      </c>
      <c r="AN14" s="59">
        <f>VLOOKUP($AL14,$Y4:$AH22,COLUMNS($AM14:AN14)+1,FALSE)</f>
        <v>23</v>
      </c>
      <c r="AO14" s="59">
        <f>VLOOKUP($AL14,$Y4:$AH22,COLUMNS($AM14:AO14)+1,FALSE)</f>
        <v>9</v>
      </c>
      <c r="AP14" s="59">
        <f>VLOOKUP($AL14,$Y4:$AH22,COLUMNS($AM14:AP14)+1,FALSE)</f>
        <v>2</v>
      </c>
      <c r="AQ14" s="59">
        <f>VLOOKUP($AL14,$Y4:$AH22,COLUMNS($AM14:AQ14)+1,FALSE)</f>
        <v>12</v>
      </c>
      <c r="AR14" s="59">
        <f>VLOOKUP($AL14,$Y4:$AH22,COLUMNS($AM14:AR14)+1,FALSE)</f>
        <v>36</v>
      </c>
      <c r="AS14" s="59">
        <f>VLOOKUP($AL14,$Y4:$AH22,COLUMNS($AM14:AS14)+1,FALSE)</f>
        <v>42</v>
      </c>
      <c r="AT14" s="59">
        <f>VLOOKUP($AL14,$Y4:$AH22,COLUMNS($AM14:AT14)+1,FALSE)</f>
        <v>-6</v>
      </c>
      <c r="AU14" s="59">
        <f>VLOOKUP($AL14,$Y4:$AH22,COLUMNS($AM14:AU14)+1,FALSE)</f>
        <v>29</v>
      </c>
      <c r="AW14" s="16"/>
      <c r="AX14" s="54"/>
      <c r="AY14" s="54"/>
      <c r="AZ14" s="54"/>
      <c r="CC14" s="54"/>
      <c r="CD14" s="54"/>
      <c r="CE14" s="54"/>
      <c r="CF14" s="2"/>
      <c r="CG14" s="2"/>
    </row>
    <row r="15" spans="1:88" x14ac:dyDescent="0.25">
      <c r="A15" s="1"/>
      <c r="B15" s="2">
        <f t="shared" si="3"/>
        <v>0</v>
      </c>
      <c r="D15" s="61">
        <f>IFERROR(VLOOKUP(F15,$V$25:$W$42,2,FALSE),"")</f>
        <v>13</v>
      </c>
      <c r="F15" s="9" t="s">
        <v>161</v>
      </c>
      <c r="G15" s="10">
        <v>1</v>
      </c>
      <c r="H15" s="10">
        <v>3</v>
      </c>
      <c r="I15" s="9" t="s">
        <v>80</v>
      </c>
      <c r="J15" s="6"/>
      <c r="K15" s="61">
        <f t="shared" ref="K15:K23" si="16">IFERROR(VLOOKUP(I15,$V$25:$W$42,2,FALSE),"")</f>
        <v>1</v>
      </c>
      <c r="M15" s="2">
        <f t="shared" si="15"/>
        <v>3</v>
      </c>
      <c r="O15" s="2" t="str">
        <f t="shared" si="4"/>
        <v>P</v>
      </c>
      <c r="P15" s="2" t="str">
        <f t="shared" si="5"/>
        <v>G</v>
      </c>
      <c r="S15" s="2" t="str">
        <f t="shared" ref="S15:S23" si="17">IF(M15&lt;&gt;"",F15&amp;I15,"")</f>
        <v>1. FC KölnBorussia Dortmund</v>
      </c>
      <c r="T15" s="2" t="str">
        <f t="shared" ref="T15:T23" si="18">IF(S15&lt;&gt;"",G15&amp;"-"&amp;H15,"")</f>
        <v>1-3</v>
      </c>
      <c r="Y15" s="11">
        <f>RANK(AI15,$AI$5:$AI$22,0)+COUNTIF($AI$4:AI14,AI15)</f>
        <v>6</v>
      </c>
      <c r="Z15" s="12" t="str">
        <f>CONCATENATE(EQUIPES!F16)</f>
        <v>FC Schalke 04</v>
      </c>
      <c r="AA15" s="11">
        <f t="shared" si="6"/>
        <v>24</v>
      </c>
      <c r="AB15" s="11">
        <f t="shared" si="7"/>
        <v>9</v>
      </c>
      <c r="AC15" s="11">
        <f t="shared" si="8"/>
        <v>9</v>
      </c>
      <c r="AD15" s="11">
        <f t="shared" si="9"/>
        <v>6</v>
      </c>
      <c r="AE15" s="11">
        <f t="shared" si="10"/>
        <v>32</v>
      </c>
      <c r="AF15" s="11">
        <f t="shared" si="11"/>
        <v>35</v>
      </c>
      <c r="AG15" s="11">
        <f t="shared" si="12"/>
        <v>-3</v>
      </c>
      <c r="AH15" s="11">
        <f t="shared" si="13"/>
        <v>36</v>
      </c>
      <c r="AI15" s="11">
        <f t="shared" si="14"/>
        <v>36000.002</v>
      </c>
      <c r="AJ15" s="6"/>
      <c r="AL15" s="59">
        <v>12</v>
      </c>
      <c r="AM15" s="59" t="str">
        <f>VLOOKUP($AL15,$Y4:$AH22,COLUMNS($AM15:AM15)+1,FALSE)</f>
        <v>Eintracht Frankfurt</v>
      </c>
      <c r="AN15" s="59">
        <f>VLOOKUP($AL15,$Y4:$AH22,COLUMNS($AM15:AN15)+1,FALSE)</f>
        <v>23</v>
      </c>
      <c r="AO15" s="59">
        <f>VLOOKUP($AL15,$Y4:$AH22,COLUMNS($AM15:AO15)+1,FALSE)</f>
        <v>8</v>
      </c>
      <c r="AP15" s="59">
        <f>VLOOKUP($AL15,$Y4:$AH22,COLUMNS($AM15:AP15)+1,FALSE)</f>
        <v>4</v>
      </c>
      <c r="AQ15" s="59">
        <f>VLOOKUP($AL15,$Y4:$AH22,COLUMNS($AM15:AQ15)+1,FALSE)</f>
        <v>11</v>
      </c>
      <c r="AR15" s="59">
        <f>VLOOKUP($AL15,$Y4:$AH22,COLUMNS($AM15:AR15)+1,FALSE)</f>
        <v>38</v>
      </c>
      <c r="AS15" s="59">
        <f>VLOOKUP($AL15,$Y4:$AH22,COLUMNS($AM15:AS15)+1,FALSE)</f>
        <v>37</v>
      </c>
      <c r="AT15" s="59">
        <f>VLOOKUP($AL15,$Y4:$AH22,COLUMNS($AM15:AT15)+1,FALSE)</f>
        <v>1</v>
      </c>
      <c r="AU15" s="59">
        <f>VLOOKUP($AL15,$Y4:$AH22,COLUMNS($AM15:AU15)+1,FALSE)</f>
        <v>28</v>
      </c>
      <c r="AW15" s="16"/>
      <c r="AX15" s="54"/>
      <c r="AY15" s="54"/>
      <c r="AZ15" s="54"/>
      <c r="CC15" s="54"/>
      <c r="CD15" s="54"/>
      <c r="CE15" s="54"/>
      <c r="CF15" s="2"/>
      <c r="CG15" s="2"/>
    </row>
    <row r="16" spans="1:88" x14ac:dyDescent="0.25">
      <c r="A16" s="1"/>
      <c r="B16" s="2">
        <f t="shared" si="3"/>
        <v>3</v>
      </c>
      <c r="D16" s="61">
        <f t="shared" ref="D16:D23" si="19">IFERROR(VLOOKUP(F16,$V$25:$W$42,2,FALSE),"")</f>
        <v>14</v>
      </c>
      <c r="F16" s="9" t="s">
        <v>86</v>
      </c>
      <c r="G16" s="10">
        <v>3</v>
      </c>
      <c r="H16" s="10">
        <v>2</v>
      </c>
      <c r="I16" s="9" t="s">
        <v>87</v>
      </c>
      <c r="J16" s="6"/>
      <c r="K16" s="61">
        <f t="shared" si="16"/>
        <v>15</v>
      </c>
      <c r="M16" s="2">
        <f t="shared" si="15"/>
        <v>0</v>
      </c>
      <c r="O16" s="2" t="str">
        <f t="shared" si="4"/>
        <v>G</v>
      </c>
      <c r="P16" s="2" t="str">
        <f t="shared" si="5"/>
        <v>P</v>
      </c>
      <c r="S16" s="2" t="str">
        <f t="shared" si="17"/>
        <v>1899 HoffenheimWerder Bremen</v>
      </c>
      <c r="T16" s="2" t="str">
        <f t="shared" si="18"/>
        <v>3-2</v>
      </c>
      <c r="Y16" s="11">
        <f>RANK(AI16,$AI$5:$AI$22,0)+COUNTIF($AI$4:AI15,AI16)</f>
        <v>16</v>
      </c>
      <c r="Z16" s="12" t="str">
        <f>CONCATENATE(EQUIPES!F17)</f>
        <v>Fortuna Düsseldorf</v>
      </c>
      <c r="AA16" s="11">
        <f t="shared" si="6"/>
        <v>24</v>
      </c>
      <c r="AB16" s="11">
        <f t="shared" si="7"/>
        <v>5</v>
      </c>
      <c r="AC16" s="11">
        <f t="shared" si="8"/>
        <v>6</v>
      </c>
      <c r="AD16" s="11">
        <f t="shared" si="9"/>
        <v>13</v>
      </c>
      <c r="AE16" s="11">
        <f t="shared" si="10"/>
        <v>26</v>
      </c>
      <c r="AF16" s="11">
        <f t="shared" si="11"/>
        <v>49</v>
      </c>
      <c r="AG16" s="11">
        <f t="shared" si="12"/>
        <v>-23</v>
      </c>
      <c r="AH16" s="11">
        <f t="shared" si="13"/>
        <v>21</v>
      </c>
      <c r="AI16" s="11">
        <f t="shared" si="14"/>
        <v>20999.796000000002</v>
      </c>
      <c r="AJ16" s="6"/>
      <c r="AL16" s="59">
        <v>13</v>
      </c>
      <c r="AM16" s="59" t="str">
        <f>VLOOKUP($AL16,$Y4:$AH22,COLUMNS($AM16:AM16)+1,FALSE)</f>
        <v>FC Augsburg</v>
      </c>
      <c r="AN16" s="59">
        <f>VLOOKUP($AL16,$Y4:$AH22,COLUMNS($AM16:AN16)+1,FALSE)</f>
        <v>24</v>
      </c>
      <c r="AO16" s="59">
        <f>VLOOKUP($AL16,$Y4:$AH22,COLUMNS($AM16:AO16)+1,FALSE)</f>
        <v>7</v>
      </c>
      <c r="AP16" s="59">
        <f>VLOOKUP($AL16,$Y4:$AH22,COLUMNS($AM16:AP16)+1,FALSE)</f>
        <v>6</v>
      </c>
      <c r="AQ16" s="59">
        <f>VLOOKUP($AL16,$Y4:$AH22,COLUMNS($AM16:AQ16)+1,FALSE)</f>
        <v>11</v>
      </c>
      <c r="AR16" s="59">
        <f>VLOOKUP($AL16,$Y4:$AH22,COLUMNS($AM16:AR16)+1,FALSE)</f>
        <v>36</v>
      </c>
      <c r="AS16" s="59">
        <f>VLOOKUP($AL16,$Y4:$AH22,COLUMNS($AM16:AS16)+1,FALSE)</f>
        <v>50</v>
      </c>
      <c r="AT16" s="59">
        <f>VLOOKUP($AL16,$Y4:$AH22,COLUMNS($AM16:AT16)+1,FALSE)</f>
        <v>-14</v>
      </c>
      <c r="AU16" s="59">
        <f>VLOOKUP($AL16,$Y4:$AH22,COLUMNS($AM16:AU16)+1,FALSE)</f>
        <v>27</v>
      </c>
      <c r="AW16" s="16"/>
      <c r="AX16" s="54"/>
      <c r="AY16" s="54"/>
      <c r="AZ16" s="54"/>
      <c r="CC16" s="54"/>
      <c r="CD16" s="54"/>
      <c r="CE16" s="54"/>
      <c r="CF16" s="2"/>
      <c r="CG16" s="2"/>
    </row>
    <row r="17" spans="1:88" x14ac:dyDescent="0.25">
      <c r="A17" s="1"/>
      <c r="B17" s="2">
        <f t="shared" si="3"/>
        <v>0</v>
      </c>
      <c r="D17" s="61">
        <f t="shared" si="19"/>
        <v>4</v>
      </c>
      <c r="F17" s="9" t="s">
        <v>89</v>
      </c>
      <c r="G17" s="10">
        <v>1</v>
      </c>
      <c r="H17" s="10">
        <v>3</v>
      </c>
      <c r="I17" s="9" t="s">
        <v>83</v>
      </c>
      <c r="J17" s="6"/>
      <c r="K17" s="61">
        <f t="shared" si="16"/>
        <v>5</v>
      </c>
      <c r="M17" s="2">
        <f t="shared" si="15"/>
        <v>3</v>
      </c>
      <c r="O17" s="2" t="str">
        <f t="shared" si="4"/>
        <v>P</v>
      </c>
      <c r="P17" s="2" t="str">
        <f t="shared" si="5"/>
        <v>G</v>
      </c>
      <c r="S17" s="2" t="str">
        <f t="shared" si="17"/>
        <v>Fortuna DüsseldorfBayer Leverkusen</v>
      </c>
      <c r="T17" s="2" t="str">
        <f t="shared" si="18"/>
        <v>1-3</v>
      </c>
      <c r="Y17" s="11">
        <f>RANK(AI17,$AI$5:$AI$22,0)+COUNTIF($AI$4:AI16,AI17)</f>
        <v>14</v>
      </c>
      <c r="Z17" s="12" t="str">
        <f>CONCATENATE(EQUIPES!F18)</f>
        <v>Hertha BSC</v>
      </c>
      <c r="AA17" s="11">
        <f t="shared" si="6"/>
        <v>24</v>
      </c>
      <c r="AB17" s="11">
        <f t="shared" si="7"/>
        <v>7</v>
      </c>
      <c r="AC17" s="11">
        <f t="shared" si="8"/>
        <v>6</v>
      </c>
      <c r="AD17" s="11">
        <f t="shared" si="9"/>
        <v>11</v>
      </c>
      <c r="AE17" s="11">
        <f t="shared" si="10"/>
        <v>30</v>
      </c>
      <c r="AF17" s="11">
        <f t="shared" si="11"/>
        <v>46</v>
      </c>
      <c r="AG17" s="11">
        <f t="shared" si="12"/>
        <v>-16</v>
      </c>
      <c r="AH17" s="11">
        <f t="shared" si="13"/>
        <v>27</v>
      </c>
      <c r="AI17" s="11">
        <f t="shared" si="14"/>
        <v>26999.87</v>
      </c>
      <c r="AJ17" s="6"/>
      <c r="AL17" s="59">
        <v>14</v>
      </c>
      <c r="AM17" s="59" t="str">
        <f>VLOOKUP($AL17,$Y4:$AH22,COLUMNS($AM17:AM17)+1,FALSE)</f>
        <v>Hertha BSC</v>
      </c>
      <c r="AN17" s="59">
        <f>VLOOKUP($AL17,$Y4:$AH22,COLUMNS($AM17:AN17)+1,FALSE)</f>
        <v>24</v>
      </c>
      <c r="AO17" s="59">
        <f>VLOOKUP($AL17,$Y4:$AH22,COLUMNS($AM17:AO17)+1,FALSE)</f>
        <v>7</v>
      </c>
      <c r="AP17" s="59">
        <f>VLOOKUP($AL17,$Y4:$AH22,COLUMNS($AM17:AP17)+1,FALSE)</f>
        <v>6</v>
      </c>
      <c r="AQ17" s="59">
        <f>VLOOKUP($AL17,$Y4:$AH22,COLUMNS($AM17:AQ17)+1,FALSE)</f>
        <v>11</v>
      </c>
      <c r="AR17" s="59">
        <f>VLOOKUP($AL17,$Y4:$AH22,COLUMNS($AM17:AR17)+1,FALSE)</f>
        <v>30</v>
      </c>
      <c r="AS17" s="59">
        <f>VLOOKUP($AL17,$Y4:$AH22,COLUMNS($AM17:AS17)+1,FALSE)</f>
        <v>46</v>
      </c>
      <c r="AT17" s="59">
        <f>VLOOKUP($AL17,$Y4:$AH22,COLUMNS($AM17:AT17)+1,FALSE)</f>
        <v>-16</v>
      </c>
      <c r="AU17" s="59">
        <f>VLOOKUP($AL17,$Y4:$AH22,COLUMNS($AM17:AU17)+1,FALSE)</f>
        <v>27</v>
      </c>
      <c r="BA17" s="20"/>
      <c r="BB17" s="20"/>
      <c r="BC17" s="20"/>
      <c r="CF17" s="6"/>
      <c r="CG17" s="2"/>
      <c r="CH17" s="2"/>
      <c r="CI17" s="2"/>
      <c r="CJ17" s="2"/>
    </row>
    <row r="18" spans="1:88" x14ac:dyDescent="0.25">
      <c r="A18" s="1"/>
      <c r="B18" s="2">
        <f t="shared" si="3"/>
        <v>0</v>
      </c>
      <c r="D18" s="61">
        <f t="shared" si="19"/>
        <v>16</v>
      </c>
      <c r="F18" s="9" t="s">
        <v>90</v>
      </c>
      <c r="G18" s="10">
        <v>1</v>
      </c>
      <c r="H18" s="10">
        <v>3</v>
      </c>
      <c r="I18" s="9" t="s">
        <v>82</v>
      </c>
      <c r="J18" s="6"/>
      <c r="K18" s="61">
        <f t="shared" si="16"/>
        <v>10</v>
      </c>
      <c r="M18" s="2">
        <f t="shared" si="15"/>
        <v>3</v>
      </c>
      <c r="O18" s="2" t="str">
        <f t="shared" si="4"/>
        <v>P</v>
      </c>
      <c r="P18" s="2" t="str">
        <f t="shared" si="5"/>
        <v>G</v>
      </c>
      <c r="S18" s="2" t="str">
        <f t="shared" si="17"/>
        <v>1. FSV Mainz 05Bor. Mönchengladbach</v>
      </c>
      <c r="T18" s="2" t="str">
        <f t="shared" si="18"/>
        <v>1-3</v>
      </c>
      <c r="Y18" s="11">
        <f>RANK(AI18,$AI$5:$AI$22,0)+COUNTIF($AI$4:AI17,AI18)</f>
        <v>2</v>
      </c>
      <c r="Z18" s="12" t="str">
        <f>CONCATENATE(EQUIPES!F19)</f>
        <v>RB Leipzig</v>
      </c>
      <c r="AA18" s="11">
        <f t="shared" si="6"/>
        <v>24</v>
      </c>
      <c r="AB18" s="11">
        <f t="shared" si="7"/>
        <v>14</v>
      </c>
      <c r="AC18" s="11">
        <f t="shared" si="8"/>
        <v>7</v>
      </c>
      <c r="AD18" s="11">
        <f t="shared" si="9"/>
        <v>3</v>
      </c>
      <c r="AE18" s="11">
        <f t="shared" si="10"/>
        <v>62</v>
      </c>
      <c r="AF18" s="11">
        <f t="shared" si="11"/>
        <v>26</v>
      </c>
      <c r="AG18" s="11">
        <f t="shared" si="12"/>
        <v>36</v>
      </c>
      <c r="AH18" s="11">
        <f t="shared" si="13"/>
        <v>49</v>
      </c>
      <c r="AI18" s="11">
        <f t="shared" si="14"/>
        <v>49000.421999999999</v>
      </c>
      <c r="AJ18" s="6"/>
      <c r="AL18" s="59">
        <v>15</v>
      </c>
      <c r="AM18" s="59" t="str">
        <f>VLOOKUP($AL18,$Y4:$AH22,COLUMNS($AM18:AM18)+1,FALSE)</f>
        <v>1. FSV Mainz 05</v>
      </c>
      <c r="AN18" s="59">
        <f>VLOOKUP($AL18,$Y4:$AH22,COLUMNS($AM18:AN18)+1,FALSE)</f>
        <v>24</v>
      </c>
      <c r="AO18" s="59">
        <f>VLOOKUP($AL18,$Y4:$AH22,COLUMNS($AM18:AO18)+1,FALSE)</f>
        <v>8</v>
      </c>
      <c r="AP18" s="59">
        <f>VLOOKUP($AL18,$Y4:$AH22,COLUMNS($AM18:AP18)+1,FALSE)</f>
        <v>1</v>
      </c>
      <c r="AQ18" s="59">
        <f>VLOOKUP($AL18,$Y4:$AH22,COLUMNS($AM18:AQ18)+1,FALSE)</f>
        <v>15</v>
      </c>
      <c r="AR18" s="59">
        <f>VLOOKUP($AL18,$Y4:$AH22,COLUMNS($AM18:AR18)+1,FALSE)</f>
        <v>33</v>
      </c>
      <c r="AS18" s="59">
        <f>VLOOKUP($AL18,$Y4:$AH22,COLUMNS($AM18:AS18)+1,FALSE)</f>
        <v>52</v>
      </c>
      <c r="AT18" s="59">
        <f>VLOOKUP($AL18,$Y4:$AH22,COLUMNS($AM18:AT18)+1,FALSE)</f>
        <v>-19</v>
      </c>
      <c r="AU18" s="59">
        <f>VLOOKUP($AL18,$Y4:$AH22,COLUMNS($AM18:AU18)+1,FALSE)</f>
        <v>25</v>
      </c>
      <c r="BA18" s="20"/>
      <c r="BB18" s="20"/>
      <c r="BC18" s="20"/>
      <c r="CF18" s="6"/>
      <c r="CG18" s="2"/>
      <c r="CH18" s="2"/>
      <c r="CI18" s="2"/>
      <c r="CJ18" s="2"/>
    </row>
    <row r="19" spans="1:88" x14ac:dyDescent="0.25">
      <c r="A19" s="1"/>
      <c r="B19" s="2">
        <f t="shared" si="3"/>
        <v>1</v>
      </c>
      <c r="D19" s="61">
        <f t="shared" si="19"/>
        <v>17</v>
      </c>
      <c r="F19" s="9" t="s">
        <v>92</v>
      </c>
      <c r="G19" s="10">
        <v>1</v>
      </c>
      <c r="H19" s="10">
        <v>1</v>
      </c>
      <c r="I19" s="9" t="s">
        <v>162</v>
      </c>
      <c r="J19" s="6"/>
      <c r="K19" s="61">
        <f t="shared" si="16"/>
        <v>18</v>
      </c>
      <c r="M19" s="2">
        <f t="shared" si="15"/>
        <v>1</v>
      </c>
      <c r="O19" s="2" t="str">
        <f t="shared" si="4"/>
        <v>N</v>
      </c>
      <c r="P19" s="2" t="str">
        <f t="shared" si="5"/>
        <v>N</v>
      </c>
      <c r="S19" s="2" t="str">
        <f t="shared" si="17"/>
        <v>FC Augsburg1. FC Union Berlin</v>
      </c>
      <c r="T19" s="2" t="str">
        <f t="shared" si="18"/>
        <v>1-1</v>
      </c>
      <c r="Y19" s="11">
        <f>RANK(AI19,$AI$5:$AI$22,0)+COUNTIF($AI$4:AI18,AI19)</f>
        <v>9</v>
      </c>
      <c r="Z19" s="12" t="str">
        <f>CONCATENATE(EQUIPES!F20)</f>
        <v>SC Freiburg</v>
      </c>
      <c r="AA19" s="11">
        <f t="shared" si="6"/>
        <v>24</v>
      </c>
      <c r="AB19" s="11">
        <f t="shared" si="7"/>
        <v>9</v>
      </c>
      <c r="AC19" s="11">
        <f t="shared" si="8"/>
        <v>6</v>
      </c>
      <c r="AD19" s="11">
        <f t="shared" si="9"/>
        <v>9</v>
      </c>
      <c r="AE19" s="11">
        <f t="shared" si="10"/>
        <v>31</v>
      </c>
      <c r="AF19" s="11">
        <f t="shared" si="11"/>
        <v>34</v>
      </c>
      <c r="AG19" s="11">
        <f t="shared" si="12"/>
        <v>-3</v>
      </c>
      <c r="AH19" s="11">
        <f t="shared" si="13"/>
        <v>33</v>
      </c>
      <c r="AI19" s="11">
        <f t="shared" si="14"/>
        <v>33000.001000000004</v>
      </c>
      <c r="AJ19" s="6"/>
      <c r="AL19" s="59">
        <v>16</v>
      </c>
      <c r="AM19" s="59" t="str">
        <f>VLOOKUP($AL19,$Y4:$AH22,COLUMNS($AM19:AM19)+1,FALSE)</f>
        <v>Fortuna Düsseldorf</v>
      </c>
      <c r="AN19" s="59">
        <f>VLOOKUP($AL19,$Y4:$AH22,COLUMNS($AM19:AN19)+1,FALSE)</f>
        <v>24</v>
      </c>
      <c r="AO19" s="59">
        <f>VLOOKUP($AL19,$Y4:$AH22,COLUMNS($AM19:AO19)+1,FALSE)</f>
        <v>5</v>
      </c>
      <c r="AP19" s="59">
        <f>VLOOKUP($AL19,$Y4:$AH22,COLUMNS($AM19:AP19)+1,FALSE)</f>
        <v>6</v>
      </c>
      <c r="AQ19" s="59">
        <f>VLOOKUP($AL19,$Y4:$AH22,COLUMNS($AM19:AQ19)+1,FALSE)</f>
        <v>13</v>
      </c>
      <c r="AR19" s="59">
        <f>VLOOKUP($AL19,$Y4:$AH22,COLUMNS($AM19:AR19)+1,FALSE)</f>
        <v>26</v>
      </c>
      <c r="AS19" s="59">
        <f>VLOOKUP($AL19,$Y4:$AH22,COLUMNS($AM19:AS19)+1,FALSE)</f>
        <v>49</v>
      </c>
      <c r="AT19" s="59">
        <f>VLOOKUP($AL19,$Y4:$AH22,COLUMNS($AM19:AT19)+1,FALSE)</f>
        <v>-23</v>
      </c>
      <c r="AU19" s="59">
        <f>VLOOKUP($AL19,$Y4:$AH22,COLUMNS($AM19:AU19)+1,FALSE)</f>
        <v>21</v>
      </c>
      <c r="BA19" s="57"/>
      <c r="BB19" s="57"/>
      <c r="BC19" s="57"/>
      <c r="CF19" s="6"/>
      <c r="CG19" s="2"/>
      <c r="CH19" s="2"/>
      <c r="CI19" s="2"/>
      <c r="CJ19" s="2"/>
    </row>
    <row r="20" spans="1:88" x14ac:dyDescent="0.25">
      <c r="A20" s="1"/>
      <c r="B20" s="2">
        <f t="shared" si="3"/>
        <v>0</v>
      </c>
      <c r="D20" s="61">
        <f t="shared" si="19"/>
        <v>12</v>
      </c>
      <c r="F20" s="9" t="s">
        <v>148</v>
      </c>
      <c r="G20" s="10">
        <v>1</v>
      </c>
      <c r="H20" s="10">
        <v>3</v>
      </c>
      <c r="I20" s="9" t="s">
        <v>91</v>
      </c>
      <c r="J20" s="6"/>
      <c r="K20" s="61">
        <f t="shared" si="16"/>
        <v>3</v>
      </c>
      <c r="M20" s="2">
        <f t="shared" si="15"/>
        <v>3</v>
      </c>
      <c r="O20" s="2" t="str">
        <f t="shared" si="4"/>
        <v>P</v>
      </c>
      <c r="P20" s="2" t="str">
        <f t="shared" si="5"/>
        <v>G</v>
      </c>
      <c r="S20" s="2" t="str">
        <f t="shared" si="17"/>
        <v>SC Paderborn 07SC Freiburg</v>
      </c>
      <c r="T20" s="2" t="str">
        <f t="shared" si="18"/>
        <v>1-3</v>
      </c>
      <c r="Y20" s="11">
        <f>RANK(AI20,$AI$5:$AI$22,0)+COUNTIF($AI$4:AI19,AI20)</f>
        <v>18</v>
      </c>
      <c r="Z20" s="12" t="str">
        <f>CONCATENATE(EQUIPES!F21)</f>
        <v>SC Paderborn 07</v>
      </c>
      <c r="AA20" s="11">
        <f t="shared" si="6"/>
        <v>24</v>
      </c>
      <c r="AB20" s="11">
        <f t="shared" si="7"/>
        <v>4</v>
      </c>
      <c r="AC20" s="11">
        <f t="shared" si="8"/>
        <v>4</v>
      </c>
      <c r="AD20" s="11">
        <f t="shared" si="9"/>
        <v>16</v>
      </c>
      <c r="AE20" s="11">
        <f t="shared" si="10"/>
        <v>29</v>
      </c>
      <c r="AF20" s="11">
        <f t="shared" si="11"/>
        <v>52</v>
      </c>
      <c r="AG20" s="11">
        <f t="shared" si="12"/>
        <v>-23</v>
      </c>
      <c r="AH20" s="11">
        <f t="shared" si="13"/>
        <v>16</v>
      </c>
      <c r="AI20" s="11">
        <f t="shared" si="14"/>
        <v>15999.799000000001</v>
      </c>
      <c r="AJ20" s="6"/>
      <c r="AL20" s="59">
        <v>17</v>
      </c>
      <c r="AM20" s="59" t="str">
        <f>VLOOKUP($AL20,$Y4:$AH22,COLUMNS($AM20:AM20)+1,FALSE)</f>
        <v>Werder Bremen</v>
      </c>
      <c r="AN20" s="59">
        <f>VLOOKUP($AL20,$Y4:$AH22,COLUMNS($AM20:AN20)+1,FALSE)</f>
        <v>23</v>
      </c>
      <c r="AO20" s="59">
        <f>VLOOKUP($AL20,$Y4:$AH22,COLUMNS($AM20:AO20)+1,FALSE)</f>
        <v>4</v>
      </c>
      <c r="AP20" s="59">
        <f>VLOOKUP($AL20,$Y4:$AH22,COLUMNS($AM20:AP20)+1,FALSE)</f>
        <v>5</v>
      </c>
      <c r="AQ20" s="59">
        <f>VLOOKUP($AL20,$Y4:$AH22,COLUMNS($AM20:AQ20)+1,FALSE)</f>
        <v>14</v>
      </c>
      <c r="AR20" s="59">
        <f>VLOOKUP($AL20,$Y4:$AH22,COLUMNS($AM20:AR20)+1,FALSE)</f>
        <v>25</v>
      </c>
      <c r="AS20" s="59">
        <f>VLOOKUP($AL20,$Y4:$AH22,COLUMNS($AM20:AS20)+1,FALSE)</f>
        <v>53</v>
      </c>
      <c r="AT20" s="59">
        <f>VLOOKUP($AL20,$Y4:$AH22,COLUMNS($AM20:AT20)+1,FALSE)</f>
        <v>-28</v>
      </c>
      <c r="AU20" s="59">
        <f>VLOOKUP($AL20,$Y4:$AH22,COLUMNS($AM20:AU20)+1,FALSE)</f>
        <v>17</v>
      </c>
      <c r="CF20" s="6"/>
      <c r="CG20" s="2"/>
      <c r="CH20" s="2"/>
      <c r="CI20" s="2"/>
      <c r="CJ20" s="2"/>
    </row>
    <row r="21" spans="1:88" x14ac:dyDescent="0.25">
      <c r="A21" s="1"/>
      <c r="B21" s="2">
        <f t="shared" si="3"/>
        <v>0</v>
      </c>
      <c r="D21" s="61">
        <f t="shared" si="19"/>
        <v>11</v>
      </c>
      <c r="F21" s="9" t="s">
        <v>93</v>
      </c>
      <c r="G21" s="10">
        <v>0</v>
      </c>
      <c r="H21" s="10">
        <v>3</v>
      </c>
      <c r="I21" s="9" t="s">
        <v>79</v>
      </c>
      <c r="J21" s="6"/>
      <c r="K21" s="61">
        <f t="shared" si="16"/>
        <v>8</v>
      </c>
      <c r="M21" s="2">
        <f t="shared" si="15"/>
        <v>3</v>
      </c>
      <c r="O21" s="2" t="str">
        <f t="shared" si="4"/>
        <v>P</v>
      </c>
      <c r="P21" s="2" t="str">
        <f t="shared" si="5"/>
        <v>G</v>
      </c>
      <c r="S21" s="2" t="str">
        <f t="shared" si="17"/>
        <v>FC Schalke 04Bayern München</v>
      </c>
      <c r="T21" s="2" t="str">
        <f t="shared" si="18"/>
        <v>0-3</v>
      </c>
      <c r="Y21" s="11">
        <f>RANK(AI21,$AI$5:$AI$22,0)+COUNTIF($AI$4:AI20,AI21)</f>
        <v>7</v>
      </c>
      <c r="Z21" s="12" t="str">
        <f>CONCATENATE(EQUIPES!F22)</f>
        <v>VfL Wolfsburg</v>
      </c>
      <c r="AA21" s="11">
        <f t="shared" si="6"/>
        <v>24</v>
      </c>
      <c r="AB21" s="11">
        <f t="shared" si="7"/>
        <v>9</v>
      </c>
      <c r="AC21" s="11">
        <f t="shared" si="8"/>
        <v>8</v>
      </c>
      <c r="AD21" s="11">
        <f t="shared" si="9"/>
        <v>7</v>
      </c>
      <c r="AE21" s="11">
        <f t="shared" si="10"/>
        <v>34</v>
      </c>
      <c r="AF21" s="11">
        <f t="shared" si="11"/>
        <v>30</v>
      </c>
      <c r="AG21" s="11">
        <f t="shared" si="12"/>
        <v>4</v>
      </c>
      <c r="AH21" s="11">
        <f t="shared" si="13"/>
        <v>35</v>
      </c>
      <c r="AI21" s="11">
        <f t="shared" si="14"/>
        <v>35000.074000000001</v>
      </c>
      <c r="AJ21" s="6"/>
      <c r="AL21" s="59">
        <v>18</v>
      </c>
      <c r="AM21" s="59" t="str">
        <f>VLOOKUP($AL21,$Y4:$AH22,COLUMNS($AM21:AM21)+1,FALSE)</f>
        <v>SC Paderborn 07</v>
      </c>
      <c r="AN21" s="59">
        <f>VLOOKUP($AL21,$Y4:$AH22,COLUMNS($AM21:AN21)+1,FALSE)</f>
        <v>24</v>
      </c>
      <c r="AO21" s="59">
        <f>VLOOKUP($AL21,$Y4:$AH22,COLUMNS($AM21:AO21)+1,FALSE)</f>
        <v>4</v>
      </c>
      <c r="AP21" s="59">
        <f>VLOOKUP($AL21,$Y4:$AH22,COLUMNS($AM21:AP21)+1,FALSE)</f>
        <v>4</v>
      </c>
      <c r="AQ21" s="59">
        <f>VLOOKUP($AL21,$Y4:$AH22,COLUMNS($AM21:AQ21)+1,FALSE)</f>
        <v>16</v>
      </c>
      <c r="AR21" s="59">
        <f>VLOOKUP($AL21,$Y4:$AH22,COLUMNS($AM21:AR21)+1,FALSE)</f>
        <v>29</v>
      </c>
      <c r="AS21" s="59">
        <f>VLOOKUP($AL21,$Y4:$AH22,COLUMNS($AM21:AS21)+1,FALSE)</f>
        <v>52</v>
      </c>
      <c r="AT21" s="59">
        <f>VLOOKUP($AL21,$Y4:$AH22,COLUMNS($AM21:AT21)+1,FALSE)</f>
        <v>-23</v>
      </c>
      <c r="AU21" s="59">
        <f>VLOOKUP($AL21,$Y4:$AH22,COLUMNS($AM21:AU21)+1,FALSE)</f>
        <v>16</v>
      </c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6"/>
      <c r="CG21" s="2"/>
      <c r="CH21" s="2"/>
      <c r="CI21" s="2"/>
      <c r="CJ21" s="2"/>
    </row>
    <row r="22" spans="1:88" x14ac:dyDescent="0.25">
      <c r="A22" s="1"/>
      <c r="B22" s="2">
        <f t="shared" si="3"/>
        <v>3</v>
      </c>
      <c r="D22" s="61">
        <f t="shared" si="19"/>
        <v>2</v>
      </c>
      <c r="F22" s="9" t="s">
        <v>81</v>
      </c>
      <c r="G22" s="10">
        <v>2</v>
      </c>
      <c r="H22" s="10">
        <v>1</v>
      </c>
      <c r="I22" s="9" t="s">
        <v>84</v>
      </c>
      <c r="J22" s="6"/>
      <c r="K22" s="61">
        <f t="shared" si="16"/>
        <v>7</v>
      </c>
      <c r="M22" s="2">
        <f t="shared" si="15"/>
        <v>0</v>
      </c>
      <c r="O22" s="2" t="str">
        <f t="shared" si="4"/>
        <v>G</v>
      </c>
      <c r="P22" s="2" t="str">
        <f t="shared" si="5"/>
        <v>P</v>
      </c>
      <c r="S22" s="2" t="str">
        <f t="shared" si="17"/>
        <v>RB LeipzigEintracht Frankfurt</v>
      </c>
      <c r="T22" s="2" t="str">
        <f t="shared" si="18"/>
        <v>2-1</v>
      </c>
      <c r="Y22" s="11">
        <f>RANK(AI22,$AI$5:$AI$22,0)+COUNTIF($AI$4:AI21,AI22)</f>
        <v>17</v>
      </c>
      <c r="Z22" s="12" t="str">
        <f>CONCATENATE(EQUIPES!F23)</f>
        <v>Werder Bremen</v>
      </c>
      <c r="AA22" s="11">
        <f t="shared" si="6"/>
        <v>23</v>
      </c>
      <c r="AB22" s="11">
        <f t="shared" si="7"/>
        <v>4</v>
      </c>
      <c r="AC22" s="11">
        <f t="shared" si="8"/>
        <v>5</v>
      </c>
      <c r="AD22" s="11">
        <f t="shared" si="9"/>
        <v>14</v>
      </c>
      <c r="AE22" s="11">
        <f t="shared" si="10"/>
        <v>25</v>
      </c>
      <c r="AF22" s="11">
        <f t="shared" si="11"/>
        <v>53</v>
      </c>
      <c r="AG22" s="11">
        <f t="shared" si="12"/>
        <v>-28</v>
      </c>
      <c r="AH22" s="11">
        <f t="shared" si="13"/>
        <v>17</v>
      </c>
      <c r="AI22" s="11">
        <f t="shared" si="14"/>
        <v>16999.745000000003</v>
      </c>
      <c r="AJ22" s="6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X22" s="54"/>
      <c r="AY22" s="54"/>
      <c r="AZ22" s="54"/>
      <c r="BA22" s="54"/>
      <c r="BB22" s="54"/>
      <c r="BC22" s="54"/>
      <c r="BD22" s="54"/>
      <c r="BE22" s="54"/>
      <c r="BF22" s="54"/>
      <c r="BG22" s="54"/>
      <c r="BH22" s="54"/>
      <c r="BI22" s="54"/>
      <c r="BJ22" s="54"/>
      <c r="BK22" s="54"/>
      <c r="BL22" s="54"/>
      <c r="BM22" s="54"/>
      <c r="BN22" s="54"/>
      <c r="BO22" s="54"/>
      <c r="BP22" s="54"/>
      <c r="BQ22" s="54"/>
      <c r="BR22" s="54"/>
      <c r="BS22" s="54"/>
      <c r="BT22" s="54"/>
      <c r="BU22" s="54"/>
      <c r="BV22" s="54"/>
      <c r="BW22" s="54"/>
      <c r="BX22" s="54"/>
      <c r="BY22" s="54"/>
      <c r="BZ22" s="54"/>
      <c r="CA22" s="54"/>
      <c r="CB22" s="54"/>
      <c r="CC22" s="54"/>
      <c r="CD22" s="54"/>
      <c r="CE22" s="54"/>
      <c r="CF22" s="6"/>
      <c r="CG22" s="2"/>
      <c r="CH22" s="2"/>
      <c r="CI22" s="2"/>
      <c r="CJ22" s="2"/>
    </row>
    <row r="23" spans="1:88" x14ac:dyDescent="0.25">
      <c r="A23" s="1"/>
      <c r="B23" s="2">
        <f t="shared" si="3"/>
        <v>0</v>
      </c>
      <c r="D23" s="61">
        <f t="shared" si="19"/>
        <v>9</v>
      </c>
      <c r="F23" s="9" t="s">
        <v>88</v>
      </c>
      <c r="G23" s="10">
        <v>0</v>
      </c>
      <c r="H23" s="10">
        <v>3</v>
      </c>
      <c r="I23" s="9" t="s">
        <v>85</v>
      </c>
      <c r="J23" s="6"/>
      <c r="K23" s="61">
        <f t="shared" si="16"/>
        <v>6</v>
      </c>
      <c r="M23" s="2">
        <f t="shared" si="15"/>
        <v>3</v>
      </c>
      <c r="O23" s="2" t="str">
        <f t="shared" si="4"/>
        <v>P</v>
      </c>
      <c r="P23" s="2" t="str">
        <f t="shared" si="5"/>
        <v>G</v>
      </c>
      <c r="S23" s="2" t="str">
        <f t="shared" si="17"/>
        <v>Hertha BSCVfL Wolfsburg</v>
      </c>
      <c r="T23" s="2" t="str">
        <f t="shared" si="18"/>
        <v>0-3</v>
      </c>
      <c r="AH23" s="2"/>
      <c r="AJ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W23" s="16"/>
      <c r="AX23" s="54"/>
      <c r="AY23" s="54"/>
      <c r="AZ23" s="54"/>
      <c r="BA23" s="54"/>
      <c r="BB23" s="54"/>
      <c r="BC23" s="54"/>
      <c r="BD23" s="54"/>
      <c r="BE23" s="54"/>
      <c r="BF23" s="54"/>
      <c r="BG23" s="54"/>
      <c r="BH23" s="54"/>
      <c r="BI23" s="54"/>
      <c r="BJ23" s="54"/>
      <c r="BK23" s="54"/>
      <c r="BL23" s="54"/>
      <c r="BM23" s="54"/>
      <c r="BN23" s="54"/>
      <c r="BO23" s="54"/>
      <c r="BP23" s="54"/>
      <c r="BQ23" s="54"/>
      <c r="BR23" s="54"/>
      <c r="BS23" s="54"/>
      <c r="BT23" s="54"/>
      <c r="BU23" s="54"/>
      <c r="BV23" s="54"/>
      <c r="BW23" s="54"/>
      <c r="BX23" s="54"/>
      <c r="BY23" s="54"/>
      <c r="BZ23" s="54"/>
      <c r="CA23" s="54"/>
      <c r="CB23" s="54"/>
      <c r="CC23" s="54"/>
      <c r="CD23" s="54"/>
      <c r="CE23" s="54"/>
      <c r="CF23" s="6"/>
      <c r="CG23" s="2"/>
      <c r="CH23" s="2"/>
      <c r="CI23" s="2"/>
      <c r="CJ23" s="2"/>
    </row>
    <row r="24" spans="1:88" x14ac:dyDescent="0.25">
      <c r="A24" s="1"/>
      <c r="F24" s="107"/>
      <c r="G24" s="108"/>
      <c r="H24" s="108"/>
      <c r="I24" s="107"/>
      <c r="J24" s="6"/>
      <c r="O24" s="2" t="str">
        <f t="shared" si="4"/>
        <v/>
      </c>
      <c r="P24" s="2" t="str">
        <f t="shared" si="5"/>
        <v/>
      </c>
      <c r="W24" s="18">
        <v>1</v>
      </c>
      <c r="Y24" s="19"/>
      <c r="Z24" s="19" t="s">
        <v>1</v>
      </c>
      <c r="AA24" s="19" t="s">
        <v>2</v>
      </c>
      <c r="AB24" s="19" t="s">
        <v>3</v>
      </c>
      <c r="AC24" s="19" t="s">
        <v>4</v>
      </c>
      <c r="AD24" s="19" t="s">
        <v>5</v>
      </c>
      <c r="AE24" s="19" t="s">
        <v>6</v>
      </c>
      <c r="AF24" s="19" t="s">
        <v>7</v>
      </c>
      <c r="AG24" s="19" t="s">
        <v>8</v>
      </c>
      <c r="AH24" s="19" t="s">
        <v>9</v>
      </c>
      <c r="AI24" s="19" t="s">
        <v>0</v>
      </c>
      <c r="AJ24" s="6"/>
      <c r="AN24" s="155"/>
      <c r="AO24" s="155"/>
      <c r="AP24" s="155"/>
      <c r="AQ24" s="155"/>
      <c r="AR24" s="155"/>
      <c r="AS24" s="155"/>
      <c r="AT24" s="155"/>
      <c r="AU24" s="155"/>
      <c r="AV24" s="2"/>
    </row>
    <row r="25" spans="1:88" x14ac:dyDescent="0.25">
      <c r="A25" s="1"/>
      <c r="B25" s="2" t="str">
        <f t="shared" si="3"/>
        <v/>
      </c>
      <c r="F25" s="153" t="s">
        <v>153</v>
      </c>
      <c r="G25" s="153"/>
      <c r="H25" s="153"/>
      <c r="I25" s="153"/>
      <c r="J25" s="6"/>
      <c r="M25" s="2" t="str">
        <f t="shared" ref="M25:M34" si="20">IF(H25="","",IF(H25&gt;G25,3,IF(H25=G25,1,0)))</f>
        <v/>
      </c>
      <c r="O25" s="2" t="str">
        <f t="shared" si="4"/>
        <v/>
      </c>
      <c r="P25" s="2" t="str">
        <f t="shared" si="5"/>
        <v/>
      </c>
      <c r="V25" s="2" t="str">
        <f>CONCATENATE(Z25)</f>
        <v>1. FC Köln</v>
      </c>
      <c r="W25" s="2">
        <f t="shared" ref="W25:W42" si="21">Y25</f>
        <v>13</v>
      </c>
      <c r="Y25" s="19">
        <f>RANK(AI25,$AI$25:$AI$42,0)+COUNTIF($AI$24:AI24,AI25)</f>
        <v>13</v>
      </c>
      <c r="Z25" s="19" t="str">
        <f t="shared" ref="Z25:Z42" si="22">CONCATENATE(Z5)</f>
        <v>1. FC Köln</v>
      </c>
      <c r="AA25" s="19">
        <f>COUNTIFS(F4:F12,Z25,G4:G12,"&gt;=0")+COUNTIFS(I4:I12,Z25,H4:H12,"&gt;=0")</f>
        <v>1</v>
      </c>
      <c r="AB25" s="19">
        <f>COUNTIFS(F4:F12,Z25,B4:B12,3)+COUNTIFS(I4:I12,Z25,M4:M12,3)</f>
        <v>0</v>
      </c>
      <c r="AC25" s="19">
        <f>COUNTIFS(F4:F12,Z25,B4:B12,1)+COUNTIFS(I4:I12,Z25,M4:M12,1)</f>
        <v>0</v>
      </c>
      <c r="AD25" s="19">
        <f>COUNTIFS(F4:F12,Z25,B4:B12,0)+COUNTIFS(I4:I12,Z25,M4:M12,0)</f>
        <v>1</v>
      </c>
      <c r="AE25" s="19">
        <f>SUMIF(F4:F12,Z25,G4:G12)+SUMIF(I4:I12,Z25,H4:H12)</f>
        <v>1</v>
      </c>
      <c r="AF25" s="19">
        <f>SUMIF(F4:F12,Z25,H4:H12)+SUMIF(I4:I12,Z25,G4:G12)</f>
        <v>2</v>
      </c>
      <c r="AG25" s="19">
        <f>+AE25-AF25</f>
        <v>-1</v>
      </c>
      <c r="AH25" s="19">
        <f>(AB25*3)+AC25</f>
        <v>0</v>
      </c>
      <c r="AI25" s="19">
        <f>SUM(AH25*1000+(AG25)/100+(AE25)/1000)</f>
        <v>-9.0000000000000011E-3</v>
      </c>
      <c r="AN25" s="15"/>
      <c r="AO25" s="15"/>
      <c r="AP25" s="15"/>
      <c r="AS25" s="15"/>
      <c r="AT25" s="15"/>
      <c r="AU25" s="15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6"/>
    </row>
    <row r="26" spans="1:88" x14ac:dyDescent="0.25">
      <c r="A26" s="1"/>
      <c r="B26" s="2">
        <f t="shared" si="3"/>
        <v>0</v>
      </c>
      <c r="D26" s="61">
        <f t="shared" ref="D26:D34" si="23">IFERROR(VLOOKUP(F26,$V$45:$W$62,2,FALSE),"")</f>
        <v>7</v>
      </c>
      <c r="F26" s="9" t="s">
        <v>82</v>
      </c>
      <c r="G26" s="10">
        <v>1</v>
      </c>
      <c r="H26" s="10">
        <v>3</v>
      </c>
      <c r="I26" s="9" t="s">
        <v>81</v>
      </c>
      <c r="J26" s="6"/>
      <c r="K26" s="61">
        <f t="shared" ref="K26:K34" si="24">IFERROR(VLOOKUP(I26,$V$45:$W$62,2,FALSE),"")</f>
        <v>2</v>
      </c>
      <c r="M26" s="2">
        <f t="shared" si="20"/>
        <v>3</v>
      </c>
      <c r="O26" s="2" t="str">
        <f t="shared" si="4"/>
        <v>P</v>
      </c>
      <c r="P26" s="2" t="str">
        <f t="shared" si="5"/>
        <v>G</v>
      </c>
      <c r="S26" s="2" t="str">
        <f t="shared" ref="S26:S34" si="25">IF(M26&lt;&gt;"",F26&amp;I26,"")</f>
        <v>Bor. MönchengladbachRB Leipzig</v>
      </c>
      <c r="T26" s="2" t="str">
        <f t="shared" ref="T26:T34" si="26">IF(S26&lt;&gt;"",G26&amp;"-"&amp;H26,"")</f>
        <v>1-3</v>
      </c>
      <c r="V26" s="2" t="str">
        <f t="shared" ref="V26:V42" si="27">CONCATENATE(Z26)</f>
        <v>1. FC Union Berlin</v>
      </c>
      <c r="W26" s="2">
        <f t="shared" si="21"/>
        <v>18</v>
      </c>
      <c r="Y26" s="19">
        <f>RANK(AI26,$AI$25:$AI$42,0)+COUNTIF($AI$24:AI25,AI26)</f>
        <v>18</v>
      </c>
      <c r="Z26" s="19" t="str">
        <f t="shared" si="22"/>
        <v>1. FC Union Berlin</v>
      </c>
      <c r="AA26" s="19">
        <f>COUNTIFS(F4:F12,Z26,G4:G12,"&gt;=0")+COUNTIFS(I4:I12,Z26,H4:H12,"&gt;=0")</f>
        <v>1</v>
      </c>
      <c r="AB26" s="19">
        <f>COUNTIFS(F4:F12,Z26,B4:B12,3)+COUNTIFS(I4:I12,Z26,M4:M12,3)</f>
        <v>0</v>
      </c>
      <c r="AC26" s="19">
        <f>COUNTIFS(F4:F12,Z26,B4:B12,1)+COUNTIFS(I4:I12,Z26,M4:M12,1)</f>
        <v>0</v>
      </c>
      <c r="AD26" s="19">
        <f>COUNTIFS(F4:F12,Z26,B4:B12,0)+COUNTIFS(I4:I12,Z26,M4:M12,0)</f>
        <v>1</v>
      </c>
      <c r="AE26" s="19">
        <f>SUMIF(F4:F12,Z26,G4:G12)+SUMIF(I4:I12,Z26,H4:H12)</f>
        <v>0</v>
      </c>
      <c r="AF26" s="19">
        <f>SUMIF(F4:F12,Z26,H4:H12)+SUMIF(I4:I12,Z26,G4:G12)</f>
        <v>4</v>
      </c>
      <c r="AG26" s="19">
        <f>+AE26-AF26</f>
        <v>-4</v>
      </c>
      <c r="AH26" s="19">
        <f>(AB26*3)+AC26</f>
        <v>0</v>
      </c>
      <c r="AI26" s="19">
        <f t="shared" ref="AI26:AI42" si="28">SUM(AH26*1000+(AG26)/100+(AE26)/1000)</f>
        <v>-0.04</v>
      </c>
      <c r="AJ26" s="2"/>
      <c r="AN26" s="15"/>
      <c r="AO26" s="15"/>
      <c r="AP26" s="15"/>
      <c r="AS26" s="15"/>
      <c r="AT26" s="15"/>
      <c r="AU26" s="15"/>
      <c r="AW26" s="16"/>
      <c r="AX26" s="54"/>
      <c r="AY26" s="54"/>
      <c r="AZ26" s="54"/>
      <c r="BA26" s="54"/>
      <c r="BB26" s="54"/>
      <c r="BC26" s="54"/>
      <c r="BD26" s="54"/>
      <c r="BE26" s="54"/>
      <c r="BF26" s="54"/>
      <c r="BG26" s="54"/>
      <c r="BH26" s="54"/>
      <c r="BI26" s="54"/>
      <c r="BJ26" s="54"/>
      <c r="BK26" s="54"/>
      <c r="BL26" s="54"/>
      <c r="BM26" s="54"/>
      <c r="BN26" s="54"/>
      <c r="BO26" s="54"/>
      <c r="BP26" s="54"/>
      <c r="BQ26" s="54"/>
      <c r="BR26" s="54"/>
      <c r="BS26" s="54"/>
      <c r="BT26" s="54"/>
      <c r="BU26" s="54"/>
      <c r="BV26" s="54"/>
      <c r="BW26" s="54"/>
      <c r="BX26" s="54"/>
      <c r="BY26" s="54"/>
      <c r="BZ26" s="54"/>
      <c r="CA26" s="54"/>
      <c r="CB26" s="54"/>
      <c r="CC26" s="54"/>
      <c r="CD26" s="54"/>
      <c r="CE26" s="54"/>
      <c r="CF26" s="6"/>
    </row>
    <row r="27" spans="1:88" x14ac:dyDescent="0.25">
      <c r="A27" s="1"/>
      <c r="B27" s="2">
        <f t="shared" si="3"/>
        <v>3</v>
      </c>
      <c r="D27" s="61">
        <f t="shared" si="23"/>
        <v>6</v>
      </c>
      <c r="F27" s="9" t="s">
        <v>79</v>
      </c>
      <c r="G27" s="10">
        <v>6</v>
      </c>
      <c r="H27" s="10">
        <v>1</v>
      </c>
      <c r="I27" s="9" t="s">
        <v>90</v>
      </c>
      <c r="J27" s="6"/>
      <c r="K27" s="61">
        <f t="shared" si="24"/>
        <v>18</v>
      </c>
      <c r="M27" s="2">
        <f t="shared" si="20"/>
        <v>0</v>
      </c>
      <c r="O27" s="2" t="str">
        <f t="shared" si="4"/>
        <v>G</v>
      </c>
      <c r="P27" s="2" t="str">
        <f t="shared" si="5"/>
        <v>P</v>
      </c>
      <c r="S27" s="2" t="str">
        <f t="shared" si="25"/>
        <v>Bayern München1. FSV Mainz 05</v>
      </c>
      <c r="T27" s="2" t="str">
        <f t="shared" si="26"/>
        <v>6-1</v>
      </c>
      <c r="V27" s="2" t="str">
        <f t="shared" si="27"/>
        <v>1. FSV Mainz 05</v>
      </c>
      <c r="W27" s="2">
        <f t="shared" si="21"/>
        <v>16</v>
      </c>
      <c r="Y27" s="19">
        <f>RANK(AI27,$AI$25:$AI$42,0)+COUNTIF($AI$24:AI26,AI27)</f>
        <v>16</v>
      </c>
      <c r="Z27" s="19" t="str">
        <f t="shared" si="22"/>
        <v>1. FSV Mainz 05</v>
      </c>
      <c r="AA27" s="19">
        <f>COUNTIFS(F4:F12,Z27,G4:G12,"&gt;=0")+COUNTIFS(I4:I12,Z27,H4:H12,"&gt;=0")</f>
        <v>1</v>
      </c>
      <c r="AB27" s="19">
        <f>COUNTIFS(F4:F12,Z27,B4:B12,3)+COUNTIFS(I4:I12,Z27,M4:M12,3)</f>
        <v>0</v>
      </c>
      <c r="AC27" s="19">
        <f>COUNTIFS(F4:F12,Z27,B4:B12,1)+COUNTIFS(I4:I12,Z27,M4:M12,1)</f>
        <v>0</v>
      </c>
      <c r="AD27" s="19">
        <f>COUNTIFS(F4:F12,Z27,B4:B12,0)+COUNTIFS(I4:I12,Z27,M4:M12,0)</f>
        <v>1</v>
      </c>
      <c r="AE27" s="19">
        <f>SUMIF(F4:F12,Z27,G4:G12)+SUMIF(I4:I12,Z27,H4:H12)</f>
        <v>0</v>
      </c>
      <c r="AF27" s="19">
        <f>SUMIF(F4:F12,Z27,H4:H12)+SUMIF(I4:I12,Z27,G4:G12)</f>
        <v>3</v>
      </c>
      <c r="AG27" s="19">
        <f>+AE27-AF27</f>
        <v>-3</v>
      </c>
      <c r="AH27" s="19">
        <f>(AB27*3)+AC27</f>
        <v>0</v>
      </c>
      <c r="AI27" s="19">
        <f t="shared" si="28"/>
        <v>-0.03</v>
      </c>
      <c r="AJ27" s="2"/>
      <c r="AN27" s="15"/>
      <c r="AO27" s="15"/>
      <c r="AP27" s="15"/>
      <c r="AS27" s="15"/>
      <c r="AT27" s="15"/>
      <c r="AU27" s="15"/>
      <c r="AW27" s="16"/>
      <c r="AX27" s="54"/>
      <c r="AY27" s="54"/>
      <c r="AZ27" s="54"/>
      <c r="BA27" s="54"/>
      <c r="BB27" s="54"/>
      <c r="BC27" s="54"/>
      <c r="BD27" s="54"/>
      <c r="BE27" s="54"/>
      <c r="BF27" s="54"/>
      <c r="BG27" s="54"/>
      <c r="BH27" s="54"/>
      <c r="BI27" s="54"/>
      <c r="BJ27" s="54"/>
      <c r="BK27" s="54"/>
      <c r="BL27" s="54"/>
      <c r="BM27" s="54"/>
      <c r="BN27" s="54"/>
      <c r="BO27" s="54"/>
      <c r="BP27" s="54"/>
      <c r="BQ27" s="54"/>
      <c r="BR27" s="54"/>
      <c r="BS27" s="54"/>
      <c r="BT27" s="54"/>
      <c r="BU27" s="54"/>
      <c r="BV27" s="54"/>
      <c r="BW27" s="54"/>
      <c r="BX27" s="54"/>
      <c r="BY27" s="54"/>
      <c r="BZ27" s="54"/>
      <c r="CA27" s="54"/>
      <c r="CB27" s="54"/>
      <c r="CC27" s="54"/>
      <c r="CD27" s="54"/>
      <c r="CE27" s="54"/>
    </row>
    <row r="28" spans="1:88" x14ac:dyDescent="0.25">
      <c r="A28" s="1"/>
      <c r="B28" s="2">
        <f t="shared" si="3"/>
        <v>1</v>
      </c>
      <c r="D28" s="61">
        <f t="shared" si="23"/>
        <v>5</v>
      </c>
      <c r="F28" s="9" t="s">
        <v>83</v>
      </c>
      <c r="G28" s="10">
        <v>0</v>
      </c>
      <c r="H28" s="10">
        <v>0</v>
      </c>
      <c r="I28" s="9" t="s">
        <v>86</v>
      </c>
      <c r="J28" s="6"/>
      <c r="K28" s="61">
        <f t="shared" si="24"/>
        <v>9</v>
      </c>
      <c r="M28" s="2">
        <f t="shared" si="20"/>
        <v>1</v>
      </c>
      <c r="O28" s="2" t="str">
        <f t="shared" si="4"/>
        <v>N</v>
      </c>
      <c r="P28" s="2" t="str">
        <f t="shared" si="5"/>
        <v>N</v>
      </c>
      <c r="S28" s="2" t="str">
        <f t="shared" si="25"/>
        <v>Bayer Leverkusen1899 Hoffenheim</v>
      </c>
      <c r="T28" s="2" t="str">
        <f t="shared" si="26"/>
        <v>0-0</v>
      </c>
      <c r="V28" s="2" t="str">
        <f t="shared" si="27"/>
        <v>1899 Hoffenheim</v>
      </c>
      <c r="W28" s="2">
        <f t="shared" si="21"/>
        <v>14</v>
      </c>
      <c r="Y28" s="19">
        <f>RANK(AI28,$AI$25:$AI$42,0)+COUNTIF($AI$24:AI27,AI28)</f>
        <v>14</v>
      </c>
      <c r="Z28" s="19" t="str">
        <f t="shared" si="22"/>
        <v>1899 Hoffenheim</v>
      </c>
      <c r="AA28" s="19">
        <f>COUNTIFS(F4:F12,Z28,G4:G12,"&gt;=0")+COUNTIFS(I4:I12,Z28,H4:H12,"&gt;=0")</f>
        <v>1</v>
      </c>
      <c r="AB28" s="19">
        <f>COUNTIFS(F4:F12,Z28,B4:B12,3)+COUNTIFS(I4:I12,Z28,M4:M12,3)</f>
        <v>0</v>
      </c>
      <c r="AC28" s="19">
        <f>COUNTIFS(F4:F12,Z28,B4:B12,1)+COUNTIFS(I4:I12,Z28,M4:M12,1)</f>
        <v>0</v>
      </c>
      <c r="AD28" s="19">
        <f>COUNTIFS(F4:F12,Z28,B4:B12,0)+COUNTIFS(I4:I12,Z28,M4:M12,0)</f>
        <v>1</v>
      </c>
      <c r="AE28" s="19">
        <f>SUMIF(F4:F12,Z28,G4:G12)+SUMIF(I4:I12,Z28,H4:H12)</f>
        <v>0</v>
      </c>
      <c r="AF28" s="19">
        <f>SUMIF(F4:F12,Z28,H4:H12)+SUMIF(I4:I12,Z28,G4:G12)</f>
        <v>1</v>
      </c>
      <c r="AG28" s="19">
        <f>+AE28-AF28</f>
        <v>-1</v>
      </c>
      <c r="AH28" s="19">
        <f>(AB28*3)+AC28</f>
        <v>0</v>
      </c>
      <c r="AI28" s="19">
        <f t="shared" si="28"/>
        <v>-0.01</v>
      </c>
      <c r="AJ28" s="2"/>
      <c r="AN28" s="15"/>
      <c r="AO28" s="15"/>
      <c r="AP28" s="15"/>
      <c r="AS28" s="15"/>
      <c r="AT28" s="15"/>
      <c r="AU28" s="15"/>
    </row>
    <row r="29" spans="1:88" x14ac:dyDescent="0.25">
      <c r="A29" s="1"/>
      <c r="B29" s="2">
        <f t="shared" si="3"/>
        <v>1</v>
      </c>
      <c r="D29" s="61">
        <f t="shared" si="23"/>
        <v>4</v>
      </c>
      <c r="F29" s="9" t="s">
        <v>85</v>
      </c>
      <c r="G29" s="10">
        <v>1</v>
      </c>
      <c r="H29" s="10">
        <v>1</v>
      </c>
      <c r="I29" s="9" t="s">
        <v>148</v>
      </c>
      <c r="J29" s="6"/>
      <c r="K29" s="61">
        <f t="shared" si="24"/>
        <v>15</v>
      </c>
      <c r="M29" s="2">
        <f t="shared" si="20"/>
        <v>1</v>
      </c>
      <c r="O29" s="2" t="str">
        <f t="shared" si="4"/>
        <v>N</v>
      </c>
      <c r="P29" s="2" t="str">
        <f t="shared" si="5"/>
        <v>N</v>
      </c>
      <c r="S29" s="2" t="str">
        <f t="shared" si="25"/>
        <v>VfL WolfsburgSC Paderborn 07</v>
      </c>
      <c r="T29" s="2" t="str">
        <f t="shared" si="26"/>
        <v>1-1</v>
      </c>
      <c r="V29" s="2" t="str">
        <f t="shared" si="27"/>
        <v>Bayer Leverkusen</v>
      </c>
      <c r="W29" s="2">
        <f t="shared" si="21"/>
        <v>5</v>
      </c>
      <c r="Y29" s="19">
        <f>RANK(AI29,$AI$25:$AI$42,0)+COUNTIF($AI$24:AI28,AI29)</f>
        <v>5</v>
      </c>
      <c r="Z29" s="19" t="str">
        <f t="shared" si="22"/>
        <v>Bayer Leverkusen</v>
      </c>
      <c r="AA29" s="19">
        <f>COUNTIFS(F4:F12,Z29,G4:G12,"&gt;=0")+COUNTIFS(I4:I12,Z29,H4:H12,"&gt;=0")</f>
        <v>1</v>
      </c>
      <c r="AB29" s="19">
        <f>COUNTIFS(F4:F12,Z29,B4:B12,3)+COUNTIFS(I4:I12,Z29,M4:M12,3)</f>
        <v>1</v>
      </c>
      <c r="AC29" s="19">
        <f>COUNTIFS(F4:F12,Z29,B4:B12,1)+COUNTIFS(I4:I12,Z29,M4:M12,1)</f>
        <v>0</v>
      </c>
      <c r="AD29" s="19">
        <f>COUNTIFS(F4:F12,Z29,B4:B12,0)+COUNTIFS(I4:I12,Z29,M4:M12,0)</f>
        <v>0</v>
      </c>
      <c r="AE29" s="19">
        <f>SUMIF(F4:F12,Z29,G4:G12)+SUMIF(I4:I12,Z29,H4:H12)</f>
        <v>3</v>
      </c>
      <c r="AF29" s="19">
        <f>SUMIF(F4:F12,Z29,H4:H12)+SUMIF(I4:I12,Z29,G4:G12)</f>
        <v>2</v>
      </c>
      <c r="AG29" s="19">
        <f t="shared" ref="AG29:AG42" si="29">+AE29-AF29</f>
        <v>1</v>
      </c>
      <c r="AH29" s="19">
        <f>(AB29*3)+AC29</f>
        <v>3</v>
      </c>
      <c r="AI29" s="19">
        <f t="shared" si="28"/>
        <v>3000.0130000000004</v>
      </c>
      <c r="AJ29" s="2"/>
      <c r="AN29" s="15"/>
      <c r="AO29" s="15"/>
      <c r="AP29" s="15"/>
      <c r="AS29" s="15"/>
      <c r="AT29" s="15"/>
      <c r="AU29" s="15"/>
    </row>
    <row r="30" spans="1:88" x14ac:dyDescent="0.25">
      <c r="A30" s="1"/>
      <c r="B30" s="2">
        <f t="shared" si="3"/>
        <v>0</v>
      </c>
      <c r="D30" s="61">
        <f t="shared" si="23"/>
        <v>3</v>
      </c>
      <c r="F30" s="9" t="s">
        <v>91</v>
      </c>
      <c r="G30" s="10">
        <v>1</v>
      </c>
      <c r="H30" s="10">
        <v>2</v>
      </c>
      <c r="I30" s="9" t="s">
        <v>161</v>
      </c>
      <c r="J30" s="6"/>
      <c r="K30" s="61">
        <f t="shared" si="24"/>
        <v>17</v>
      </c>
      <c r="M30" s="2">
        <f t="shared" si="20"/>
        <v>3</v>
      </c>
      <c r="O30" s="2" t="str">
        <f t="shared" si="4"/>
        <v>P</v>
      </c>
      <c r="P30" s="2" t="str">
        <f t="shared" si="5"/>
        <v>G</v>
      </c>
      <c r="S30" s="2" t="str">
        <f t="shared" si="25"/>
        <v>SC Freiburg1. FC Köln</v>
      </c>
      <c r="T30" s="2" t="str">
        <f t="shared" si="26"/>
        <v>1-2</v>
      </c>
      <c r="V30" s="2" t="str">
        <f t="shared" si="27"/>
        <v>Bayern München</v>
      </c>
      <c r="W30" s="2">
        <f t="shared" si="21"/>
        <v>8</v>
      </c>
      <c r="Y30" s="19">
        <f>RANK(AI30,$AI$25:$AI$42,0)+COUNTIF($AI$24:AI29,AI30)</f>
        <v>8</v>
      </c>
      <c r="Z30" s="19" t="str">
        <f t="shared" si="22"/>
        <v>Bayern München</v>
      </c>
      <c r="AA30" s="19">
        <f>COUNTIFS(F4:F12,Z30,G4:G12,"&gt;=0")+COUNTIFS(I4:I12,Z30,H4:H12,"&gt;=0")</f>
        <v>1</v>
      </c>
      <c r="AB30" s="19">
        <f>COUNTIFS(F4:F12,Z30,B4:B12,3)+COUNTIFS(I4:I12,Z30,M4:M12,3)</f>
        <v>0</v>
      </c>
      <c r="AC30" s="19">
        <f>COUNTIFS(F4:F12,Z30,B4:B12,1)+COUNTIFS(I4:I12,Z30,M4:M12,1)</f>
        <v>1</v>
      </c>
      <c r="AD30" s="19">
        <f>COUNTIFS(F4:F12,Z30,B4:B12,0)+COUNTIFS(I4:I12,Z30,M4:M12,0)</f>
        <v>0</v>
      </c>
      <c r="AE30" s="19">
        <f>SUMIF(F4:F12,Z30,G4:G12)+SUMIF(I4:I12,Z30,H4:H12)</f>
        <v>2</v>
      </c>
      <c r="AF30" s="19">
        <f>SUMIF(F4:F12,Z30,H4:H12)+SUMIF(I4:I12,Z30,G4:G12)</f>
        <v>2</v>
      </c>
      <c r="AG30" s="19">
        <f t="shared" si="29"/>
        <v>0</v>
      </c>
      <c r="AH30" s="19">
        <f t="shared" ref="AH30:AH42" si="30">(AB30*3)+AC30</f>
        <v>1</v>
      </c>
      <c r="AI30" s="19">
        <f t="shared" si="28"/>
        <v>1000.002</v>
      </c>
      <c r="AJ30" s="2"/>
      <c r="AN30" s="15"/>
      <c r="AO30" s="15"/>
      <c r="AP30" s="15"/>
      <c r="AS30" s="15"/>
      <c r="AT30" s="15"/>
      <c r="AU30" s="15"/>
      <c r="AX30" s="13"/>
      <c r="AY30" s="13"/>
      <c r="AZ30" s="13"/>
      <c r="BA30" s="54"/>
      <c r="BB30" s="54"/>
      <c r="BC30" s="54"/>
    </row>
    <row r="31" spans="1:88" x14ac:dyDescent="0.25">
      <c r="A31" s="1"/>
      <c r="B31" s="2">
        <f t="shared" si="3"/>
        <v>3</v>
      </c>
      <c r="D31" s="61">
        <f t="shared" si="23"/>
        <v>12</v>
      </c>
      <c r="F31" s="9" t="s">
        <v>93</v>
      </c>
      <c r="G31" s="10">
        <v>3</v>
      </c>
      <c r="H31" s="10">
        <v>0</v>
      </c>
      <c r="I31" s="9" t="s">
        <v>88</v>
      </c>
      <c r="J31" s="6"/>
      <c r="K31" s="61">
        <f t="shared" si="24"/>
        <v>11</v>
      </c>
      <c r="M31" s="2">
        <f t="shared" si="20"/>
        <v>0</v>
      </c>
      <c r="O31" s="2" t="str">
        <f t="shared" si="4"/>
        <v>G</v>
      </c>
      <c r="P31" s="2" t="str">
        <f t="shared" si="5"/>
        <v>P</v>
      </c>
      <c r="S31" s="2" t="str">
        <f t="shared" si="25"/>
        <v>FC Schalke 04Hertha BSC</v>
      </c>
      <c r="T31" s="2" t="str">
        <f t="shared" si="26"/>
        <v>3-0</v>
      </c>
      <c r="V31" s="2" t="str">
        <f t="shared" si="27"/>
        <v>Bor. Mönchengladbach</v>
      </c>
      <c r="W31" s="2">
        <f t="shared" si="21"/>
        <v>10</v>
      </c>
      <c r="Y31" s="19">
        <f>RANK(AI31,$AI$25:$AI$42,0)+COUNTIF($AI$24:AI30,AI31)</f>
        <v>10</v>
      </c>
      <c r="Z31" s="19" t="str">
        <f t="shared" si="22"/>
        <v>Bor. Mönchengladbach</v>
      </c>
      <c r="AA31" s="19">
        <f>COUNTIFS(F4:F12,Z31,G4:G12,"&gt;=0")+COUNTIFS(I4:I12,Z31,H4:H12,"&gt;=0")</f>
        <v>1</v>
      </c>
      <c r="AB31" s="19">
        <f>COUNTIFS(F4:F12,Z31,B4:B12,3)+COUNTIFS(I4:I12,Z31,M4:M12,3)</f>
        <v>0</v>
      </c>
      <c r="AC31" s="19">
        <f>COUNTIFS(F4:F12,Z31,B4:B12,1)+COUNTIFS(I4:I12,Z31,M4:M12,1)</f>
        <v>1</v>
      </c>
      <c r="AD31" s="19">
        <f>COUNTIFS(F4:F12,Z31,B4:B12,0)+COUNTIFS(I4:I12,Z31,M4:M12,0)</f>
        <v>0</v>
      </c>
      <c r="AE31" s="19">
        <f>SUMIF(F4:F12,Z31,G4:G12)+SUMIF(I4:I12,Z31,H4:H12)</f>
        <v>0</v>
      </c>
      <c r="AF31" s="19">
        <f>SUMIF(F4:F12,Z31,H4:H12)+SUMIF(I4:I12,Z31,G4:G12)</f>
        <v>0</v>
      </c>
      <c r="AG31" s="19">
        <f t="shared" si="29"/>
        <v>0</v>
      </c>
      <c r="AH31" s="19">
        <f t="shared" si="30"/>
        <v>1</v>
      </c>
      <c r="AI31" s="19">
        <f t="shared" si="28"/>
        <v>1000</v>
      </c>
      <c r="AJ31" s="2"/>
      <c r="AN31" s="15"/>
      <c r="AO31" s="15"/>
      <c r="AP31" s="15"/>
      <c r="AS31" s="15"/>
      <c r="AT31" s="15"/>
      <c r="AU31" s="15"/>
      <c r="AX31" s="13"/>
      <c r="AY31" s="13"/>
      <c r="AZ31" s="13"/>
      <c r="BA31" s="54"/>
      <c r="BB31" s="54"/>
      <c r="BC31" s="54"/>
    </row>
    <row r="32" spans="1:88" x14ac:dyDescent="0.25">
      <c r="A32" s="1"/>
      <c r="B32" s="2">
        <f t="shared" si="3"/>
        <v>3</v>
      </c>
      <c r="D32" s="61">
        <f t="shared" si="23"/>
        <v>14</v>
      </c>
      <c r="F32" s="9" t="s">
        <v>162</v>
      </c>
      <c r="G32" s="10">
        <v>3</v>
      </c>
      <c r="H32" s="10">
        <v>1</v>
      </c>
      <c r="I32" s="9" t="s">
        <v>80</v>
      </c>
      <c r="J32" s="6"/>
      <c r="K32" s="61">
        <f t="shared" si="24"/>
        <v>1</v>
      </c>
      <c r="M32" s="2">
        <f t="shared" si="20"/>
        <v>0</v>
      </c>
      <c r="O32" s="2" t="str">
        <f t="shared" si="4"/>
        <v>G</v>
      </c>
      <c r="P32" s="2" t="str">
        <f t="shared" si="5"/>
        <v>P</v>
      </c>
      <c r="S32" s="2" t="str">
        <f t="shared" si="25"/>
        <v>1. FC Union BerlinBorussia Dortmund</v>
      </c>
      <c r="T32" s="2" t="str">
        <f t="shared" si="26"/>
        <v>3-1</v>
      </c>
      <c r="V32" s="2" t="str">
        <f t="shared" si="27"/>
        <v>Borussia Dortmund</v>
      </c>
      <c r="W32" s="2">
        <f t="shared" si="21"/>
        <v>1</v>
      </c>
      <c r="Y32" s="19">
        <f>RANK(AI32,$AI$25:$AI$42,0)+COUNTIF($AI$24:AI31,AI32)</f>
        <v>1</v>
      </c>
      <c r="Z32" s="19" t="str">
        <f t="shared" si="22"/>
        <v>Borussia Dortmund</v>
      </c>
      <c r="AA32" s="19">
        <f>COUNTIFS(F4:F12,Z32,G4:G12,"&gt;=0")+COUNTIFS(I4:I12,Z32,H4:H12,"&gt;=0")</f>
        <v>1</v>
      </c>
      <c r="AB32" s="19">
        <f>COUNTIFS(F4:F12,Z32,B4:B12,3)+COUNTIFS(I4:I12,Z32,M4:M12,3)</f>
        <v>1</v>
      </c>
      <c r="AC32" s="19">
        <f>COUNTIFS(F4:F12,Z32,B4:B12,1)+COUNTIFS(I4:I12,Z32,M4:M12,1)</f>
        <v>0</v>
      </c>
      <c r="AD32" s="19">
        <f>COUNTIFS(F4:F12,Z32,B4:B12,0)+COUNTIFS(I4:I12,Z32,M4:M12,0)</f>
        <v>0</v>
      </c>
      <c r="AE32" s="19">
        <f>SUMIF(F4:F12,Z32,G4:G12)+SUMIF(I4:I12,Z32,H4:H12)</f>
        <v>5</v>
      </c>
      <c r="AF32" s="19">
        <f>SUMIF(F4:F12,Z32,H4:H12)+SUMIF(I4:I12,Z32,G4:G12)</f>
        <v>1</v>
      </c>
      <c r="AG32" s="19">
        <f t="shared" si="29"/>
        <v>4</v>
      </c>
      <c r="AH32" s="19">
        <f t="shared" si="30"/>
        <v>3</v>
      </c>
      <c r="AI32" s="19">
        <f t="shared" si="28"/>
        <v>3000.0450000000001</v>
      </c>
      <c r="AJ32" s="2"/>
      <c r="AN32" s="15"/>
      <c r="AO32" s="15"/>
      <c r="AP32" s="15"/>
      <c r="AS32" s="15"/>
      <c r="AT32" s="15"/>
      <c r="AU32" s="15"/>
      <c r="AX32" s="13"/>
      <c r="AY32" s="13"/>
      <c r="AZ32" s="13"/>
      <c r="BA32" s="54"/>
      <c r="BB32" s="54"/>
      <c r="BC32" s="54"/>
    </row>
    <row r="33" spans="1:55" x14ac:dyDescent="0.25">
      <c r="A33" s="1"/>
      <c r="B33" s="2">
        <f t="shared" si="3"/>
        <v>3</v>
      </c>
      <c r="D33" s="61">
        <f t="shared" si="23"/>
        <v>16</v>
      </c>
      <c r="F33" s="9" t="s">
        <v>87</v>
      </c>
      <c r="G33" s="10">
        <v>3</v>
      </c>
      <c r="H33" s="10">
        <v>2</v>
      </c>
      <c r="I33" s="9" t="s">
        <v>92</v>
      </c>
      <c r="J33" s="6"/>
      <c r="K33" s="61">
        <f t="shared" si="24"/>
        <v>13</v>
      </c>
      <c r="M33" s="2">
        <f t="shared" si="20"/>
        <v>0</v>
      </c>
      <c r="O33" s="2" t="str">
        <f t="shared" si="4"/>
        <v>G</v>
      </c>
      <c r="P33" s="2" t="str">
        <f t="shared" si="5"/>
        <v>P</v>
      </c>
      <c r="S33" s="2" t="str">
        <f t="shared" si="25"/>
        <v>Werder BremenFC Augsburg</v>
      </c>
      <c r="T33" s="2" t="str">
        <f t="shared" si="26"/>
        <v>3-2</v>
      </c>
      <c r="V33" s="2" t="str">
        <f t="shared" si="27"/>
        <v>Eintracht Frankfurt</v>
      </c>
      <c r="W33" s="2">
        <f t="shared" si="21"/>
        <v>7</v>
      </c>
      <c r="Y33" s="19">
        <f>RANK(AI33,$AI$25:$AI$42,0)+COUNTIF($AI$24:AI32,AI33)</f>
        <v>7</v>
      </c>
      <c r="Z33" s="19" t="str">
        <f t="shared" si="22"/>
        <v>Eintracht Frankfurt</v>
      </c>
      <c r="AA33" s="19">
        <f>COUNTIFS(F4:F12,Z33,G4:G12,"&gt;=0")+COUNTIFS(I4:I12,Z33,H4:H12,"&gt;=0")</f>
        <v>1</v>
      </c>
      <c r="AB33" s="19">
        <f>COUNTIFS(F4:F12,Z33,B4:B12,3)+COUNTIFS(I4:I12,Z33,M4:M12,3)</f>
        <v>1</v>
      </c>
      <c r="AC33" s="19">
        <f>COUNTIFS(F4:F12,Z33,B4:B12,1)+COUNTIFS(I4:I12,Z33,M4:M12,1)</f>
        <v>0</v>
      </c>
      <c r="AD33" s="19">
        <f>COUNTIFS(F4:F12,Z33,B4:B12,0)+COUNTIFS(I4:I12,Z33,M4:M12,0)</f>
        <v>0</v>
      </c>
      <c r="AE33" s="19">
        <f>SUMIF(F4:F12,Z33,G4:G12)+SUMIF(I4:I12,Z33,H4:H12)</f>
        <v>1</v>
      </c>
      <c r="AF33" s="19">
        <f>SUMIF(F4:F12,Z33,H4:H12)+SUMIF(I4:I12,Z33,G4:G12)</f>
        <v>0</v>
      </c>
      <c r="AG33" s="19">
        <f t="shared" si="29"/>
        <v>1</v>
      </c>
      <c r="AH33" s="19">
        <f t="shared" si="30"/>
        <v>3</v>
      </c>
      <c r="AI33" s="19">
        <f t="shared" si="28"/>
        <v>3000.0110000000004</v>
      </c>
      <c r="AJ33" s="2"/>
      <c r="AN33" s="15"/>
      <c r="AO33" s="15"/>
      <c r="AP33" s="15"/>
      <c r="AS33" s="15"/>
      <c r="AT33" s="15"/>
      <c r="AU33" s="15"/>
      <c r="AX33" s="13"/>
      <c r="AY33" s="13"/>
      <c r="AZ33" s="13"/>
      <c r="BA33" s="54"/>
      <c r="BB33" s="54"/>
      <c r="BC33" s="54"/>
    </row>
    <row r="34" spans="1:55" x14ac:dyDescent="0.25">
      <c r="A34" s="1"/>
      <c r="B34" s="2">
        <f t="shared" si="3"/>
        <v>3</v>
      </c>
      <c r="D34" s="61">
        <f t="shared" si="23"/>
        <v>10</v>
      </c>
      <c r="F34" s="9" t="s">
        <v>84</v>
      </c>
      <c r="G34" s="10">
        <v>2</v>
      </c>
      <c r="H34" s="10">
        <v>1</v>
      </c>
      <c r="I34" s="9" t="s">
        <v>89</v>
      </c>
      <c r="J34" s="6"/>
      <c r="K34" s="61">
        <f t="shared" si="24"/>
        <v>8</v>
      </c>
      <c r="M34" s="2">
        <f t="shared" si="20"/>
        <v>0</v>
      </c>
      <c r="O34" s="2" t="str">
        <f t="shared" si="4"/>
        <v>G</v>
      </c>
      <c r="P34" s="2" t="str">
        <f t="shared" si="5"/>
        <v>P</v>
      </c>
      <c r="S34" s="2" t="str">
        <f t="shared" si="25"/>
        <v>Eintracht FrankfurtFortuna Düsseldorf</v>
      </c>
      <c r="T34" s="2" t="str">
        <f t="shared" si="26"/>
        <v>2-1</v>
      </c>
      <c r="V34" s="2" t="str">
        <f t="shared" si="27"/>
        <v>FC Augsburg</v>
      </c>
      <c r="W34" s="2">
        <f t="shared" si="21"/>
        <v>17</v>
      </c>
      <c r="Y34" s="19">
        <f>RANK(AI34,$AI$25:$AI$42,0)+COUNTIF($AI$24:AI33,AI34)</f>
        <v>17</v>
      </c>
      <c r="Z34" s="19" t="str">
        <f t="shared" si="22"/>
        <v>FC Augsburg</v>
      </c>
      <c r="AA34" s="19">
        <f>COUNTIFS(F4:F12,Z34,G4:G12,"&gt;=0")+COUNTIFS(I4:I12,Z34,H4:H12,"&gt;=0")</f>
        <v>1</v>
      </c>
      <c r="AB34" s="19">
        <f>COUNTIFS(F4:F12,Z34,B4:B12,3)+COUNTIFS(I4:I12,Z34,M4:M12,3)</f>
        <v>0</v>
      </c>
      <c r="AC34" s="19">
        <f>COUNTIFS(F4:F12,Z34,B4:B12,1)+COUNTIFS(I4:I12,Z34,M4:M12,1)</f>
        <v>0</v>
      </c>
      <c r="AD34" s="19">
        <f>COUNTIFS(F4:F12,Z34,B4:B12,0)+COUNTIFS(I4:I12,Z34,M4:M12,0)</f>
        <v>1</v>
      </c>
      <c r="AE34" s="19">
        <f>SUMIF(F4:F12,Z34,G4:G12)+SUMIF(I4:I12,Z34,H4:H12)</f>
        <v>1</v>
      </c>
      <c r="AF34" s="19">
        <f>SUMIF(F4:F12,Z34,H4:H12)+SUMIF(I4:I12,Z34,G4:G12)</f>
        <v>5</v>
      </c>
      <c r="AG34" s="19">
        <f t="shared" si="29"/>
        <v>-4</v>
      </c>
      <c r="AH34" s="19">
        <f t="shared" si="30"/>
        <v>0</v>
      </c>
      <c r="AI34" s="19">
        <f t="shared" si="28"/>
        <v>-3.9E-2</v>
      </c>
      <c r="AJ34" s="2"/>
      <c r="BA34" s="20"/>
      <c r="BB34" s="20"/>
      <c r="BC34" s="20"/>
    </row>
    <row r="35" spans="1:55" x14ac:dyDescent="0.25">
      <c r="A35" s="1"/>
      <c r="F35" s="107"/>
      <c r="G35" s="108"/>
      <c r="H35" s="108"/>
      <c r="I35" s="107"/>
      <c r="J35" s="6"/>
      <c r="O35" s="2" t="str">
        <f t="shared" si="4"/>
        <v/>
      </c>
      <c r="P35" s="2" t="str">
        <f t="shared" si="5"/>
        <v/>
      </c>
      <c r="V35" s="2" t="str">
        <f t="shared" si="27"/>
        <v>FC Schalke 04</v>
      </c>
      <c r="W35" s="2">
        <f t="shared" si="21"/>
        <v>11</v>
      </c>
      <c r="Y35" s="19">
        <f>RANK(AI35,$AI$25:$AI$42,0)+COUNTIF($AI$24:AI34,AI35)</f>
        <v>11</v>
      </c>
      <c r="Z35" s="19" t="str">
        <f t="shared" si="22"/>
        <v>FC Schalke 04</v>
      </c>
      <c r="AA35" s="19">
        <f>COUNTIFS(F4:F12,Z35,G4:G12,"&gt;=0")+COUNTIFS(I4:I12,Z35,H4:H12,"&gt;=0")</f>
        <v>1</v>
      </c>
      <c r="AB35" s="19">
        <f>COUNTIFS(F4:F12,Z35,B4:B12,3)+COUNTIFS(I4:I12,Z35,M4:M12,3)</f>
        <v>0</v>
      </c>
      <c r="AC35" s="19">
        <f>COUNTIFS(F4:F12,Z35,B4:B12,1)+COUNTIFS(I4:I12,Z35,M4:M12,1)</f>
        <v>1</v>
      </c>
      <c r="AD35" s="19">
        <f>COUNTIFS(F4:F12,Z35,B4:B12,0)+COUNTIFS(I4:I12,Z35,M4:M12,0)</f>
        <v>0</v>
      </c>
      <c r="AE35" s="19">
        <f>SUMIF(F4:F12,Z35,G4:G12)+SUMIF(I4:I12,Z35,H4:H12)</f>
        <v>0</v>
      </c>
      <c r="AF35" s="19">
        <f>SUMIF(F4:F12,Z35,H4:H12)+SUMIF(I4:I12,Z35,G4:G12)</f>
        <v>0</v>
      </c>
      <c r="AG35" s="19">
        <f t="shared" si="29"/>
        <v>0</v>
      </c>
      <c r="AH35" s="19">
        <f t="shared" si="30"/>
        <v>1</v>
      </c>
      <c r="AI35" s="19">
        <f t="shared" si="28"/>
        <v>1000</v>
      </c>
      <c r="AJ35" s="2"/>
      <c r="BA35" s="20"/>
      <c r="BB35" s="20"/>
      <c r="BC35" s="20"/>
    </row>
    <row r="36" spans="1:55" x14ac:dyDescent="0.25">
      <c r="A36" s="1"/>
      <c r="B36" s="2" t="str">
        <f t="shared" si="3"/>
        <v/>
      </c>
      <c r="F36" s="153" t="s">
        <v>152</v>
      </c>
      <c r="G36" s="153"/>
      <c r="H36" s="153"/>
      <c r="I36" s="153"/>
      <c r="J36" s="6"/>
      <c r="M36" s="2" t="str">
        <f t="shared" ref="M36:M45" si="31">IF(H36="","",IF(H36&gt;G36,3,IF(H36=G36,1,0)))</f>
        <v/>
      </c>
      <c r="O36" s="2" t="str">
        <f t="shared" si="4"/>
        <v/>
      </c>
      <c r="P36" s="2" t="str">
        <f t="shared" si="5"/>
        <v/>
      </c>
      <c r="V36" s="2" t="str">
        <f t="shared" si="27"/>
        <v>Fortuna Düsseldorf</v>
      </c>
      <c r="W36" s="2">
        <f t="shared" si="21"/>
        <v>4</v>
      </c>
      <c r="Y36" s="19">
        <f>RANK(AI36,$AI$25:$AI$42,0)+COUNTIF($AI$24:AI35,AI36)</f>
        <v>4</v>
      </c>
      <c r="Z36" s="19" t="str">
        <f t="shared" si="22"/>
        <v>Fortuna Düsseldorf</v>
      </c>
      <c r="AA36" s="19">
        <f>COUNTIFS(F4:F12,Z36,G4:G12,"&gt;=0")+COUNTIFS(I4:I12,Z36,H4:H12,"&gt;=0")</f>
        <v>1</v>
      </c>
      <c r="AB36" s="19">
        <f>COUNTIFS(F4:F12,Z36,B4:B12,3)+COUNTIFS(I4:I12,Z36,M4:M12,3)</f>
        <v>1</v>
      </c>
      <c r="AC36" s="19">
        <f>COUNTIFS(F4:F12,Z36,B4:B12,1)+COUNTIFS(I4:I12,Z36,M4:M12,1)</f>
        <v>0</v>
      </c>
      <c r="AD36" s="19">
        <f>COUNTIFS(F4:F12,Z36,B4:B12,0)+COUNTIFS(I4:I12,Z36,M4:M12,0)</f>
        <v>0</v>
      </c>
      <c r="AE36" s="19">
        <f>SUMIF(F4:F12,Z36,G4:G12)+SUMIF(I4:I12,Z36,H4:H12)</f>
        <v>3</v>
      </c>
      <c r="AF36" s="19">
        <f>SUMIF(F4:F12,Z36,H4:H12)+SUMIF(I4:I12,Z36,G4:G12)</f>
        <v>1</v>
      </c>
      <c r="AG36" s="19">
        <f t="shared" si="29"/>
        <v>2</v>
      </c>
      <c r="AH36" s="19">
        <f t="shared" si="30"/>
        <v>3</v>
      </c>
      <c r="AI36" s="19">
        <f t="shared" si="28"/>
        <v>3000.0230000000001</v>
      </c>
      <c r="AJ36" s="2"/>
      <c r="BA36" s="57"/>
      <c r="BB36" s="57"/>
      <c r="BC36" s="57"/>
    </row>
    <row r="37" spans="1:55" x14ac:dyDescent="0.25">
      <c r="A37" s="1"/>
      <c r="B37" s="2">
        <f t="shared" si="3"/>
        <v>1</v>
      </c>
      <c r="D37" s="61">
        <f t="shared" ref="D37:D45" si="32">IFERROR(VLOOKUP(F37,$V$65:$W$82,2,FALSE),"")</f>
        <v>12</v>
      </c>
      <c r="F37" s="9" t="s">
        <v>89</v>
      </c>
      <c r="G37" s="10">
        <v>1</v>
      </c>
      <c r="H37" s="10">
        <v>1</v>
      </c>
      <c r="I37" s="9" t="s">
        <v>85</v>
      </c>
      <c r="J37" s="6"/>
      <c r="K37" s="61">
        <f t="shared" ref="K37:K45" si="33">IFERROR(VLOOKUP(I37,$V$65:$W$82,2,FALSE),"")</f>
        <v>3</v>
      </c>
      <c r="M37" s="2">
        <f t="shared" si="31"/>
        <v>1</v>
      </c>
      <c r="O37" s="2" t="str">
        <f t="shared" si="4"/>
        <v>N</v>
      </c>
      <c r="P37" s="2" t="str">
        <f t="shared" si="5"/>
        <v>N</v>
      </c>
      <c r="S37" s="2" t="str">
        <f t="shared" ref="S37:S45" si="34">IF(M37&lt;&gt;"",F37&amp;I37,"")</f>
        <v>Fortuna DüsseldorfVfL Wolfsburg</v>
      </c>
      <c r="T37" s="2" t="str">
        <f t="shared" ref="T37:T45" si="35">IF(S37&lt;&gt;"",G37&amp;"-"&amp;H37,"")</f>
        <v>1-1</v>
      </c>
      <c r="V37" s="2" t="str">
        <f t="shared" si="27"/>
        <v>Hertha BSC</v>
      </c>
      <c r="W37" s="2">
        <f t="shared" si="21"/>
        <v>9</v>
      </c>
      <c r="Y37" s="19">
        <f>RANK(AI37,$AI$25:$AI$42,0)+COUNTIF($AI$24:AI36,AI37)</f>
        <v>9</v>
      </c>
      <c r="Z37" s="19" t="str">
        <f t="shared" si="22"/>
        <v>Hertha BSC</v>
      </c>
      <c r="AA37" s="19">
        <f>COUNTIFS(F4:F12,Z37,G4:G12,"&gt;=0")+COUNTIFS(I4:I12,Z37,H4:H12,"&gt;=0")</f>
        <v>1</v>
      </c>
      <c r="AB37" s="19">
        <f>COUNTIFS(F4:F12,Z37,B4:B12,3)+COUNTIFS(I4:I12,Z37,M4:M12,3)</f>
        <v>0</v>
      </c>
      <c r="AC37" s="19">
        <f>COUNTIFS(F4:F12,Z37,B4:B12,1)+COUNTIFS(I4:I12,Z37,M4:M12,1)</f>
        <v>1</v>
      </c>
      <c r="AD37" s="19">
        <f>COUNTIFS(F4:F12,Z37,D4:D12,0)+COUNTIFS(I4:I12,Z37,M4:M12,0)</f>
        <v>0</v>
      </c>
      <c r="AE37" s="19">
        <f>SUMIF(F4:F12,Z37,G4:G12)+SUMIF(I4:I12,Z37,H4:H12)</f>
        <v>2</v>
      </c>
      <c r="AF37" s="19">
        <f>SUMIF(F4:F12,Z37,H4:H12)+SUMIF(I4:I12,Z37,G4:G12)</f>
        <v>2</v>
      </c>
      <c r="AG37" s="19">
        <f t="shared" si="29"/>
        <v>0</v>
      </c>
      <c r="AH37" s="19">
        <f t="shared" si="30"/>
        <v>1</v>
      </c>
      <c r="AI37" s="19">
        <f t="shared" si="28"/>
        <v>1000.002</v>
      </c>
      <c r="AJ37" s="2"/>
    </row>
    <row r="38" spans="1:55" x14ac:dyDescent="0.25">
      <c r="A38" s="1"/>
      <c r="B38" s="2">
        <f t="shared" si="3"/>
        <v>3</v>
      </c>
      <c r="D38" s="61">
        <f t="shared" si="32"/>
        <v>5</v>
      </c>
      <c r="F38" s="9" t="s">
        <v>80</v>
      </c>
      <c r="G38" s="10">
        <v>4</v>
      </c>
      <c r="H38" s="10">
        <v>0</v>
      </c>
      <c r="I38" s="9" t="s">
        <v>83</v>
      </c>
      <c r="J38" s="6"/>
      <c r="K38" s="61">
        <f t="shared" si="33"/>
        <v>4</v>
      </c>
      <c r="M38" s="2">
        <f t="shared" si="31"/>
        <v>0</v>
      </c>
      <c r="O38" s="2" t="str">
        <f t="shared" si="4"/>
        <v>G</v>
      </c>
      <c r="P38" s="2" t="str">
        <f t="shared" si="5"/>
        <v>P</v>
      </c>
      <c r="S38" s="2" t="str">
        <f t="shared" si="34"/>
        <v>Borussia DortmundBayer Leverkusen</v>
      </c>
      <c r="T38" s="2" t="str">
        <f t="shared" si="35"/>
        <v>4-0</v>
      </c>
      <c r="V38" s="2" t="str">
        <f t="shared" si="27"/>
        <v>RB Leipzig</v>
      </c>
      <c r="W38" s="2">
        <f t="shared" si="21"/>
        <v>2</v>
      </c>
      <c r="Y38" s="19">
        <f>RANK(AI38,$AI$25:$AI$42,0)+COUNTIF($AI$24:AI37,AI38)</f>
        <v>2</v>
      </c>
      <c r="Z38" s="19" t="str">
        <f t="shared" si="22"/>
        <v>RB Leipzig</v>
      </c>
      <c r="AA38" s="19">
        <f>COUNTIFS(F4:F12,Z38,G4:G12,"&gt;=0")+COUNTIFS(I4:I12,Z38,H4:H12,"&gt;=0")</f>
        <v>1</v>
      </c>
      <c r="AB38" s="19">
        <f>COUNTIFS(F4:F12,Z38,B4:B12,3)+COUNTIFS(I4:I12,Z38,M4:M12,3)</f>
        <v>1</v>
      </c>
      <c r="AC38" s="19">
        <f>COUNTIFS(F4:F12,Z38,B4:B12,1)+COUNTIFS(I4:I12,Z38,M4:M12,1)</f>
        <v>0</v>
      </c>
      <c r="AD38" s="19">
        <f>COUNTIFS(F4:F12,Z38,B4:B12,0)+COUNTIFS(I4:I12,Z38,M4:M12,0)</f>
        <v>0</v>
      </c>
      <c r="AE38" s="19">
        <f>SUMIF(F4:F12,Z38,G4:G12)+SUMIF(I4:I12,Z38,H4:H12)</f>
        <v>4</v>
      </c>
      <c r="AF38" s="19">
        <f>SUMIF(F4:F12,Z38,H4:H12)+SUMIF(I4:I12,Z38,G4:G12)</f>
        <v>0</v>
      </c>
      <c r="AG38" s="19">
        <f t="shared" si="29"/>
        <v>4</v>
      </c>
      <c r="AH38" s="19">
        <f t="shared" si="30"/>
        <v>3</v>
      </c>
      <c r="AI38" s="19">
        <f t="shared" si="28"/>
        <v>3000.0439999999999</v>
      </c>
      <c r="AJ38" s="2"/>
    </row>
    <row r="39" spans="1:55" x14ac:dyDescent="0.25">
      <c r="A39" s="1"/>
      <c r="B39" s="2">
        <f t="shared" si="3"/>
        <v>3</v>
      </c>
      <c r="D39" s="61">
        <f t="shared" si="32"/>
        <v>18</v>
      </c>
      <c r="F39" s="9" t="s">
        <v>90</v>
      </c>
      <c r="G39" s="10">
        <v>2</v>
      </c>
      <c r="H39" s="10">
        <v>1</v>
      </c>
      <c r="I39" s="9" t="s">
        <v>88</v>
      </c>
      <c r="J39" s="6"/>
      <c r="K39" s="61">
        <f t="shared" si="33"/>
        <v>17</v>
      </c>
      <c r="M39" s="2">
        <f t="shared" si="31"/>
        <v>0</v>
      </c>
      <c r="O39" s="2" t="str">
        <f t="shared" si="4"/>
        <v>G</v>
      </c>
      <c r="P39" s="2" t="str">
        <f t="shared" si="5"/>
        <v>P</v>
      </c>
      <c r="S39" s="2" t="str">
        <f t="shared" si="34"/>
        <v>1. FSV Mainz 05Hertha BSC</v>
      </c>
      <c r="T39" s="2" t="str">
        <f t="shared" si="35"/>
        <v>2-1</v>
      </c>
      <c r="V39" s="2" t="str">
        <f t="shared" si="27"/>
        <v>SC Freiburg</v>
      </c>
      <c r="W39" s="2">
        <f t="shared" si="21"/>
        <v>3</v>
      </c>
      <c r="Y39" s="19">
        <f>RANK(AI39,$AI$25:$AI$42,0)+COUNTIF($AI$24:AI38,AI39)</f>
        <v>3</v>
      </c>
      <c r="Z39" s="19" t="str">
        <f t="shared" si="22"/>
        <v>SC Freiburg</v>
      </c>
      <c r="AA39" s="19">
        <f>COUNTIFS(F4:F12,Z39,G4:G12,"&gt;=0")+COUNTIFS(I4:I12,Z39,H4:H12,"&gt;=0")</f>
        <v>1</v>
      </c>
      <c r="AB39" s="19">
        <f>COUNTIFS(F4:F12,Z39,B4:B12,3)+COUNTIFS(I4:I12,Z39,M4:M12,3)</f>
        <v>1</v>
      </c>
      <c r="AC39" s="19">
        <f>COUNTIFS(F4:F12,Z39,B4:B12,1)+COUNTIFS(I4:I12,Z39,M4:M12,1)</f>
        <v>0</v>
      </c>
      <c r="AD39" s="19">
        <f>COUNTIFS(F4:F12,Z39,B4:B12,0)+COUNTIFS(I4:I12,Z39,M4:M12,0)</f>
        <v>0</v>
      </c>
      <c r="AE39" s="19">
        <f>SUMIF(F4:F12,Z39,G4:G12)+SUMIF(I4:I12,Z39,H4:H12)</f>
        <v>3</v>
      </c>
      <c r="AF39" s="19">
        <f>SUMIF(F4:F12,Z39,H4:H12)+SUMIF(I4:I12,Z39,G4:G12)</f>
        <v>0</v>
      </c>
      <c r="AG39" s="19">
        <f t="shared" si="29"/>
        <v>3</v>
      </c>
      <c r="AH39" s="19">
        <f t="shared" si="30"/>
        <v>3</v>
      </c>
      <c r="AI39" s="19">
        <f t="shared" si="28"/>
        <v>3000.0330000000004</v>
      </c>
      <c r="AJ39" s="2"/>
    </row>
    <row r="40" spans="1:55" x14ac:dyDescent="0.25">
      <c r="A40" s="1"/>
      <c r="B40" s="2">
        <f t="shared" si="3"/>
        <v>3</v>
      </c>
      <c r="D40" s="61">
        <f t="shared" si="32"/>
        <v>16</v>
      </c>
      <c r="F40" s="9" t="s">
        <v>92</v>
      </c>
      <c r="G40" s="10">
        <v>2</v>
      </c>
      <c r="H40" s="10">
        <v>1</v>
      </c>
      <c r="I40" s="9" t="s">
        <v>84</v>
      </c>
      <c r="J40" s="6"/>
      <c r="K40" s="61">
        <f t="shared" si="33"/>
        <v>7</v>
      </c>
      <c r="M40" s="2">
        <f t="shared" si="31"/>
        <v>0</v>
      </c>
      <c r="O40" s="2" t="str">
        <f t="shared" si="4"/>
        <v>G</v>
      </c>
      <c r="P40" s="2" t="str">
        <f t="shared" si="5"/>
        <v>P</v>
      </c>
      <c r="S40" s="2" t="str">
        <f t="shared" si="34"/>
        <v>FC AugsburgEintracht Frankfurt</v>
      </c>
      <c r="T40" s="2" t="str">
        <f t="shared" si="35"/>
        <v>2-1</v>
      </c>
      <c r="V40" s="2" t="str">
        <f t="shared" si="27"/>
        <v>SC Paderborn 07</v>
      </c>
      <c r="W40" s="2">
        <f t="shared" si="21"/>
        <v>12</v>
      </c>
      <c r="Y40" s="19">
        <f>RANK(AI40,$AI$25:$AI$42,0)+COUNTIF($AI$24:AI39,AI40)</f>
        <v>12</v>
      </c>
      <c r="Z40" s="19" t="str">
        <f t="shared" si="22"/>
        <v>SC Paderborn 07</v>
      </c>
      <c r="AA40" s="19">
        <f>COUNTIFS(F4:F12,Z40,G4:G12,"&gt;=0")+COUNTIFS(I4:I12,Z40,H4:H12,"&gt;=0")</f>
        <v>1</v>
      </c>
      <c r="AB40" s="19">
        <f>COUNTIFS(F4:F12,Z40,B4:B12,3)+COUNTIFS(I4:I12,Z40,M4:M12,3)</f>
        <v>0</v>
      </c>
      <c r="AC40" s="19">
        <f>COUNTIFS(F4:F12,Z40,B4:B12,1)+COUNTIFS(I4:I12,Z40,M4:M12,1)</f>
        <v>0</v>
      </c>
      <c r="AD40" s="19">
        <f>COUNTIFS(F4:F12,Z40,B4:B12,0)+COUNTIFS(I4:I12,Z40,M4:M12,0)</f>
        <v>1</v>
      </c>
      <c r="AE40" s="19">
        <f>SUMIF(F4:F12,Z40,G4:G12)+SUMIF(I4:I12,Z40,H4:H12)</f>
        <v>2</v>
      </c>
      <c r="AF40" s="19">
        <f>SUMIF(F4:F12,Z40,H4:H12)+SUMIF(I4:I12,Z40,G4:G12)</f>
        <v>3</v>
      </c>
      <c r="AG40" s="19">
        <f t="shared" si="29"/>
        <v>-1</v>
      </c>
      <c r="AH40" s="19">
        <f t="shared" si="30"/>
        <v>0</v>
      </c>
      <c r="AI40" s="19">
        <f t="shared" si="28"/>
        <v>-8.0000000000000002E-3</v>
      </c>
      <c r="AJ40" s="2"/>
    </row>
    <row r="41" spans="1:55" x14ac:dyDescent="0.25">
      <c r="A41" s="1"/>
      <c r="B41" s="2">
        <f t="shared" si="3"/>
        <v>0</v>
      </c>
      <c r="D41" s="61">
        <f t="shared" si="32"/>
        <v>14</v>
      </c>
      <c r="F41" s="9" t="s">
        <v>161</v>
      </c>
      <c r="G41" s="10">
        <v>0</v>
      </c>
      <c r="H41" s="10">
        <v>1</v>
      </c>
      <c r="I41" s="9" t="s">
        <v>82</v>
      </c>
      <c r="J41" s="6"/>
      <c r="K41" s="61">
        <f t="shared" si="33"/>
        <v>8</v>
      </c>
      <c r="M41" s="2">
        <f t="shared" si="31"/>
        <v>3</v>
      </c>
      <c r="O41" s="2" t="str">
        <f t="shared" si="4"/>
        <v>P</v>
      </c>
      <c r="P41" s="2" t="str">
        <f t="shared" si="5"/>
        <v>G</v>
      </c>
      <c r="S41" s="2" t="str">
        <f t="shared" si="34"/>
        <v>1. FC KölnBor. Mönchengladbach</v>
      </c>
      <c r="T41" s="2" t="str">
        <f t="shared" si="35"/>
        <v>0-1</v>
      </c>
      <c r="V41" s="2" t="str">
        <f t="shared" si="27"/>
        <v>VfL Wolfsburg</v>
      </c>
      <c r="W41" s="2">
        <f t="shared" si="21"/>
        <v>6</v>
      </c>
      <c r="Y41" s="19">
        <f>RANK(AI41,$AI$25:$AI$42,0)+COUNTIF($AI$24:AI40,AI41)</f>
        <v>6</v>
      </c>
      <c r="Z41" s="19" t="str">
        <f t="shared" si="22"/>
        <v>VfL Wolfsburg</v>
      </c>
      <c r="AA41" s="19">
        <f>COUNTIFS(F4:F12,Z41,G4:G12,"&gt;=0")+COUNTIFS(I4:I12,Z41,H4:H12,"&gt;=0")</f>
        <v>1</v>
      </c>
      <c r="AB41" s="19">
        <f>COUNTIFS(F4:F12,Z41,B4:B12,3)+COUNTIFS(I4:I12,Z41,M4:M12,3)</f>
        <v>1</v>
      </c>
      <c r="AC41" s="19">
        <f>COUNTIFS(F4:F12,Z41,B4:B12,1)+COUNTIFS(I4:I12,Z41,M4:M12,1)</f>
        <v>0</v>
      </c>
      <c r="AD41" s="19">
        <f>COUNTIFS(F4:F12,Z41,B4:B12,0)+COUNTIFS(I4:I12,Z41,M4:M12,0)</f>
        <v>0</v>
      </c>
      <c r="AE41" s="19">
        <f>SUMIF(F4:F12,Z41,G4:G12)+SUMIF(I4:I12,Z41,H4:H12)</f>
        <v>2</v>
      </c>
      <c r="AF41" s="19">
        <f>SUMIF(F4:F12,Z41,H4:H12)+SUMIF(I4:I12,Z41,G4:G12)</f>
        <v>1</v>
      </c>
      <c r="AG41" s="19">
        <f t="shared" si="29"/>
        <v>1</v>
      </c>
      <c r="AH41" s="19">
        <f t="shared" si="30"/>
        <v>3</v>
      </c>
      <c r="AI41" s="19">
        <f t="shared" si="28"/>
        <v>3000.0120000000002</v>
      </c>
      <c r="AJ41" s="2"/>
    </row>
    <row r="42" spans="1:55" x14ac:dyDescent="0.25">
      <c r="A42" s="1"/>
      <c r="B42" s="2">
        <f t="shared" si="3"/>
        <v>0</v>
      </c>
      <c r="D42" s="61">
        <f t="shared" si="32"/>
        <v>11</v>
      </c>
      <c r="F42" s="9" t="s">
        <v>162</v>
      </c>
      <c r="G42" s="10">
        <v>1</v>
      </c>
      <c r="H42" s="10">
        <v>2</v>
      </c>
      <c r="I42" s="9" t="s">
        <v>87</v>
      </c>
      <c r="J42" s="6"/>
      <c r="K42" s="61">
        <f t="shared" si="33"/>
        <v>13</v>
      </c>
      <c r="M42" s="2">
        <f t="shared" si="31"/>
        <v>3</v>
      </c>
      <c r="O42" s="2" t="str">
        <f t="shared" si="4"/>
        <v>P</v>
      </c>
      <c r="P42" s="2" t="str">
        <f t="shared" si="5"/>
        <v>G</v>
      </c>
      <c r="S42" s="2" t="str">
        <f t="shared" si="34"/>
        <v>1. FC Union BerlinWerder Bremen</v>
      </c>
      <c r="T42" s="2" t="str">
        <f t="shared" si="35"/>
        <v>1-2</v>
      </c>
      <c r="V42" s="2" t="str">
        <f t="shared" si="27"/>
        <v>Werder Bremen</v>
      </c>
      <c r="W42" s="2">
        <f t="shared" si="21"/>
        <v>15</v>
      </c>
      <c r="Y42" s="19">
        <f>RANK(AI42,$AI$25:$AI$42,0)+COUNTIF($AI$24:AI41,AI42)</f>
        <v>15</v>
      </c>
      <c r="Z42" s="19" t="str">
        <f t="shared" si="22"/>
        <v>Werder Bremen</v>
      </c>
      <c r="AA42" s="19">
        <f>COUNTIFS(F4:F12,Z42,G4:G12,"&gt;=0")+COUNTIFS(I4:I12,Z42,H4:H12,"&gt;=0")</f>
        <v>1</v>
      </c>
      <c r="AB42" s="19">
        <f>COUNTIFS(F4:F12,Z42,B4:B12,3)+COUNTIFS(I4:I12,Z42,M4:M12,3)</f>
        <v>0</v>
      </c>
      <c r="AC42" s="19">
        <f>COUNTIFS(F4:F12,Z42,B4:B12,1)+COUNTIFS(I4:I12,Z42,M4:M12,1)</f>
        <v>0</v>
      </c>
      <c r="AD42" s="19">
        <f>COUNTIFS(F4:F12,Z42,B4:B12,0)+COUNTIFS(I4:I12,Z42,M4:M12,0)</f>
        <v>1</v>
      </c>
      <c r="AE42" s="19">
        <f>SUMIF(F4:F12,Z42,G4:G12)+SUMIF(I4:I12,Z42,H4:H12)</f>
        <v>1</v>
      </c>
      <c r="AF42" s="19">
        <f>SUMIF(F4:F12,Z42,H4:H12)+SUMIF(I4:I12,Z42,G4:G12)</f>
        <v>3</v>
      </c>
      <c r="AG42" s="19">
        <f t="shared" si="29"/>
        <v>-2</v>
      </c>
      <c r="AH42" s="19">
        <f t="shared" si="30"/>
        <v>0</v>
      </c>
      <c r="AI42" s="19">
        <f t="shared" si="28"/>
        <v>-1.9E-2</v>
      </c>
      <c r="AJ42" s="2"/>
    </row>
    <row r="43" spans="1:55" x14ac:dyDescent="0.25">
      <c r="A43" s="1"/>
      <c r="B43" s="2">
        <f t="shared" si="3"/>
        <v>1</v>
      </c>
      <c r="D43" s="61">
        <f t="shared" si="32"/>
        <v>1</v>
      </c>
      <c r="F43" s="9" t="s">
        <v>81</v>
      </c>
      <c r="G43" s="10">
        <v>1</v>
      </c>
      <c r="H43" s="10">
        <v>1</v>
      </c>
      <c r="I43" s="9" t="s">
        <v>79</v>
      </c>
      <c r="J43" s="6"/>
      <c r="K43" s="61">
        <f t="shared" si="33"/>
        <v>2</v>
      </c>
      <c r="M43" s="2">
        <f t="shared" si="31"/>
        <v>1</v>
      </c>
      <c r="O43" s="2" t="str">
        <f t="shared" si="4"/>
        <v>N</v>
      </c>
      <c r="P43" s="2" t="str">
        <f t="shared" si="5"/>
        <v>N</v>
      </c>
      <c r="S43" s="2" t="str">
        <f t="shared" si="34"/>
        <v>RB LeipzigBayern München</v>
      </c>
      <c r="T43" s="2" t="str">
        <f t="shared" si="35"/>
        <v>1-1</v>
      </c>
      <c r="AJ43" s="2"/>
    </row>
    <row r="44" spans="1:55" x14ac:dyDescent="0.25">
      <c r="A44" s="1"/>
      <c r="B44" s="2">
        <f t="shared" si="3"/>
        <v>0</v>
      </c>
      <c r="D44" s="61">
        <f t="shared" si="32"/>
        <v>9</v>
      </c>
      <c r="F44" s="9" t="s">
        <v>86</v>
      </c>
      <c r="G44" s="10">
        <v>0</v>
      </c>
      <c r="H44" s="10">
        <v>3</v>
      </c>
      <c r="I44" s="9" t="s">
        <v>91</v>
      </c>
      <c r="J44" s="6"/>
      <c r="K44" s="61">
        <f t="shared" si="33"/>
        <v>6</v>
      </c>
      <c r="M44" s="2">
        <f t="shared" si="31"/>
        <v>3</v>
      </c>
      <c r="O44" s="2" t="str">
        <f t="shared" si="4"/>
        <v>P</v>
      </c>
      <c r="P44" s="2" t="str">
        <f t="shared" si="5"/>
        <v>G</v>
      </c>
      <c r="S44" s="2" t="str">
        <f t="shared" si="34"/>
        <v>1899 HoffenheimSC Freiburg</v>
      </c>
      <c r="T44" s="2" t="str">
        <f t="shared" si="35"/>
        <v>0-3</v>
      </c>
      <c r="W44" s="18">
        <v>2</v>
      </c>
      <c r="Y44" s="19"/>
      <c r="Z44" s="19" t="s">
        <v>1</v>
      </c>
      <c r="AA44" s="19" t="s">
        <v>2</v>
      </c>
      <c r="AB44" s="19" t="s">
        <v>3</v>
      </c>
      <c r="AC44" s="19" t="s">
        <v>4</v>
      </c>
      <c r="AD44" s="19" t="s">
        <v>5</v>
      </c>
      <c r="AE44" s="19" t="s">
        <v>6</v>
      </c>
      <c r="AF44" s="19" t="s">
        <v>7</v>
      </c>
      <c r="AG44" s="19" t="s">
        <v>8</v>
      </c>
      <c r="AH44" s="19" t="s">
        <v>9</v>
      </c>
      <c r="AI44" s="19" t="s">
        <v>0</v>
      </c>
      <c r="AJ44" s="2"/>
    </row>
    <row r="45" spans="1:55" x14ac:dyDescent="0.25">
      <c r="A45" s="1"/>
      <c r="B45" s="2">
        <f t="shared" si="3"/>
        <v>0</v>
      </c>
      <c r="D45" s="61">
        <f t="shared" si="32"/>
        <v>15</v>
      </c>
      <c r="F45" s="9" t="s">
        <v>148</v>
      </c>
      <c r="G45" s="10">
        <v>1</v>
      </c>
      <c r="H45" s="10">
        <v>5</v>
      </c>
      <c r="I45" s="9" t="s">
        <v>93</v>
      </c>
      <c r="J45" s="6"/>
      <c r="K45" s="61">
        <f t="shared" si="33"/>
        <v>10</v>
      </c>
      <c r="M45" s="2">
        <f t="shared" si="31"/>
        <v>3</v>
      </c>
      <c r="O45" s="2" t="str">
        <f t="shared" si="4"/>
        <v>P</v>
      </c>
      <c r="P45" s="2" t="str">
        <f t="shared" si="5"/>
        <v>G</v>
      </c>
      <c r="S45" s="2" t="str">
        <f t="shared" si="34"/>
        <v>SC Paderborn 07FC Schalke 04</v>
      </c>
      <c r="T45" s="2" t="str">
        <f t="shared" si="35"/>
        <v>1-5</v>
      </c>
      <c r="V45" s="2" t="str">
        <f>CONCATENATE(Z45)</f>
        <v>1. FC Köln</v>
      </c>
      <c r="W45" s="2">
        <f t="shared" ref="W45:W62" si="36">Y45</f>
        <v>17</v>
      </c>
      <c r="Y45" s="19">
        <f>RANK(AI45,$AI$45:$AI$62,0)+COUNTIF($AI$44:AI44,AI45)</f>
        <v>17</v>
      </c>
      <c r="Z45" s="19" t="str">
        <f t="shared" ref="Z45:Z62" si="37">CONCATENATE(Z5)</f>
        <v>1. FC Köln</v>
      </c>
      <c r="AA45" s="19">
        <f>COUNTIFS(F4:F23,Z45,G4:G23,"&gt;=0")+COUNTIFS(I4:I23,Z45,H4:H23,"&gt;=0")</f>
        <v>2</v>
      </c>
      <c r="AB45" s="19">
        <f>COUNTIFS(F4:F23,Z45,B4:B23,3)+COUNTIFS(I4:I23,Z45,M4:M23,3)</f>
        <v>0</v>
      </c>
      <c r="AC45" s="19">
        <f>COUNTIFS(F4:F23,Z45,B4:B23,1)+COUNTIFS(I4:I23,Z45,M4:M23,1)</f>
        <v>0</v>
      </c>
      <c r="AD45" s="19">
        <f>COUNTIFS(F4:F23,Z45,B4:B23,0)+COUNTIFS(I4:I23,Z45,M4:M23,0)</f>
        <v>2</v>
      </c>
      <c r="AE45" s="19">
        <f>SUMIF(F4:F23,Z45,G4:G23)+SUMIF(I4:I23,Z45,H4:H23)</f>
        <v>2</v>
      </c>
      <c r="AF45" s="19">
        <f>SUMIF(F4:F23,Z45,H4:H23)+SUMIF(I4:I23,Z45,G4:G23)</f>
        <v>5</v>
      </c>
      <c r="AG45" s="19">
        <f>+AE45-AF45</f>
        <v>-3</v>
      </c>
      <c r="AH45" s="19">
        <f>(AB45*3)+AC45</f>
        <v>0</v>
      </c>
      <c r="AI45" s="19">
        <f>SUM(AH45*1000+(AG45)/100+(AE45)/1000)</f>
        <v>-2.7999999999999997E-2</v>
      </c>
      <c r="AJ45" s="2"/>
    </row>
    <row r="46" spans="1:55" x14ac:dyDescent="0.25">
      <c r="A46" s="1"/>
      <c r="F46" s="107"/>
      <c r="G46" s="108"/>
      <c r="H46" s="108"/>
      <c r="I46" s="107"/>
      <c r="J46" s="6"/>
      <c r="O46" s="2" t="str">
        <f t="shared" si="4"/>
        <v/>
      </c>
      <c r="P46" s="2" t="str">
        <f t="shared" si="5"/>
        <v/>
      </c>
      <c r="V46" s="2" t="str">
        <f t="shared" ref="V46:V62" si="38">CONCATENATE(Z46)</f>
        <v>1. FC Union Berlin</v>
      </c>
      <c r="W46" s="2">
        <f t="shared" si="36"/>
        <v>14</v>
      </c>
      <c r="Y46" s="19">
        <f>RANK(AI46,$AI$45:$AI$62,0)+COUNTIF($AI$44:AI45,AI46)</f>
        <v>14</v>
      </c>
      <c r="Z46" s="19" t="str">
        <f t="shared" si="37"/>
        <v>1. FC Union Berlin</v>
      </c>
      <c r="AA46" s="19">
        <f>COUNTIFS(F4:F23,Z46,G4:G23,"&gt;=0")+COUNTIFS(I4:I23,Z46,H4:H23,"&gt;=0")</f>
        <v>2</v>
      </c>
      <c r="AB46" s="19">
        <f>COUNTIFS(F4:F23,Z46,B4:B23,3)+COUNTIFS(I4:I23,Z46,M4:M23,3)</f>
        <v>0</v>
      </c>
      <c r="AC46" s="19">
        <f>COUNTIFS(F4:F23,Z46,B4:B23,1)+COUNTIFS(I4:I23,Z46,M4:M23,1)</f>
        <v>1</v>
      </c>
      <c r="AD46" s="19">
        <f>COUNTIFS(F4:F23,Z46,B4:B23,0)+COUNTIFS(I4:I23,Z46,M4:M23,0)</f>
        <v>1</v>
      </c>
      <c r="AE46" s="19">
        <f>SUMIF(F4:F23,Z46,G4:G23)+SUMIF(I4:I23,Z46,H4:H23)</f>
        <v>1</v>
      </c>
      <c r="AF46" s="19">
        <f>SUMIF(F4:F23,Z46,H4:H23)+SUMIF(I4:I23,Z46,G4:G23)</f>
        <v>5</v>
      </c>
      <c r="AG46" s="19">
        <f>+AE46-AF46</f>
        <v>-4</v>
      </c>
      <c r="AH46" s="19">
        <f>(AB46*3)+AC46</f>
        <v>1</v>
      </c>
      <c r="AI46" s="19">
        <f t="shared" ref="AI46:AI62" si="39">SUM(AH46*1000+(AG46)/100+(AE46)/1000)</f>
        <v>999.96100000000001</v>
      </c>
      <c r="AJ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W46" s="7"/>
    </row>
    <row r="47" spans="1:55" x14ac:dyDescent="0.25">
      <c r="A47" s="1"/>
      <c r="B47" s="2" t="str">
        <f t="shared" si="3"/>
        <v/>
      </c>
      <c r="F47" s="154" t="s">
        <v>151</v>
      </c>
      <c r="G47" s="154"/>
      <c r="H47" s="154"/>
      <c r="I47" s="154"/>
      <c r="J47" s="6"/>
      <c r="M47" s="2" t="str">
        <f t="shared" ref="M47:M56" si="40">IF(H47="","",IF(H47&gt;G47,3,IF(H47=G47,1,0)))</f>
        <v/>
      </c>
      <c r="O47" s="2" t="str">
        <f t="shared" si="4"/>
        <v/>
      </c>
      <c r="P47" s="2" t="str">
        <f t="shared" si="5"/>
        <v/>
      </c>
      <c r="V47" s="2" t="str">
        <f t="shared" si="38"/>
        <v>1. FSV Mainz 05</v>
      </c>
      <c r="W47" s="2">
        <f t="shared" si="36"/>
        <v>18</v>
      </c>
      <c r="Y47" s="19">
        <f>RANK(AI47,$AI$45:$AI$62,0)+COUNTIF($AI$44:AI46,AI47)</f>
        <v>18</v>
      </c>
      <c r="Z47" s="19" t="str">
        <f t="shared" si="37"/>
        <v>1. FSV Mainz 05</v>
      </c>
      <c r="AA47" s="19">
        <f>COUNTIFS(F4:F23,Z47,G4:G23,"&gt;=0")+COUNTIFS(I4:I23,Z47,H4:H23,"&gt;=0")</f>
        <v>2</v>
      </c>
      <c r="AB47" s="19">
        <f>COUNTIFS(F4:F23,Z47,B4:B23,3)+COUNTIFS(I4:I23,Z47,M4:M23,3)</f>
        <v>0</v>
      </c>
      <c r="AC47" s="19">
        <f>COUNTIFS(F4:F23,Z47,B4:B23,1)+COUNTIFS(I4:I23,Z47,M4:M23,1)</f>
        <v>0</v>
      </c>
      <c r="AD47" s="19">
        <f>COUNTIFS(F4:F23,Z47,B4:B23,0)+COUNTIFS(I4:I23,Z47,M4:M23,0)</f>
        <v>2</v>
      </c>
      <c r="AE47" s="19">
        <f>SUMIF(F4:F23,Z47,G4:G23)+SUMIF(I4:I23,Z47,H4:H23)</f>
        <v>1</v>
      </c>
      <c r="AF47" s="19">
        <f>SUMIF(F4:F23,Z47,H4:H23)+SUMIF(I4:I23,Z47,G4:G23)</f>
        <v>6</v>
      </c>
      <c r="AG47" s="19">
        <f>+AE47-AF47</f>
        <v>-5</v>
      </c>
      <c r="AH47" s="19">
        <f>(AB47*3)+AC47</f>
        <v>0</v>
      </c>
      <c r="AI47" s="19">
        <f t="shared" si="39"/>
        <v>-4.9000000000000002E-2</v>
      </c>
      <c r="AL47" s="2"/>
      <c r="AM47" s="2"/>
      <c r="AN47" s="2"/>
      <c r="AO47" s="2"/>
      <c r="AP47" s="2"/>
      <c r="AQ47" s="2"/>
      <c r="AR47" s="2"/>
      <c r="AS47" s="2"/>
      <c r="AT47" s="2"/>
      <c r="AU47" s="2"/>
      <c r="AW47" s="7"/>
    </row>
    <row r="48" spans="1:55" x14ac:dyDescent="0.25">
      <c r="A48" s="1"/>
      <c r="B48" s="2">
        <f t="shared" si="3"/>
        <v>3</v>
      </c>
      <c r="D48" s="61">
        <f t="shared" ref="D48:D56" si="41">IFERROR(VLOOKUP(F48,$V$85:$W$102,2,FALSE),"")</f>
        <v>6</v>
      </c>
      <c r="F48" s="9" t="s">
        <v>93</v>
      </c>
      <c r="G48" s="10">
        <v>2</v>
      </c>
      <c r="H48" s="10">
        <v>1</v>
      </c>
      <c r="I48" s="9" t="s">
        <v>90</v>
      </c>
      <c r="J48" s="6"/>
      <c r="K48" s="61">
        <f t="shared" ref="K48:K56" si="42">IFERROR(VLOOKUP(I48,$V$85:$W$102,2,FALSE),"")</f>
        <v>15</v>
      </c>
      <c r="M48" s="2">
        <f t="shared" si="40"/>
        <v>0</v>
      </c>
      <c r="O48" s="2" t="str">
        <f t="shared" si="4"/>
        <v>G</v>
      </c>
      <c r="P48" s="2" t="str">
        <f t="shared" si="5"/>
        <v>P</v>
      </c>
      <c r="S48" s="2" t="str">
        <f t="shared" ref="S48:S56" si="43">IF(M48&lt;&gt;"",F48&amp;I48,"")</f>
        <v>FC Schalke 041. FSV Mainz 05</v>
      </c>
      <c r="T48" s="2" t="str">
        <f t="shared" ref="T48:T56" si="44">IF(S48&lt;&gt;"",G48&amp;"-"&amp;H48,"")</f>
        <v>2-1</v>
      </c>
      <c r="V48" s="2" t="str">
        <f t="shared" si="38"/>
        <v>1899 Hoffenheim</v>
      </c>
      <c r="W48" s="2">
        <f t="shared" si="36"/>
        <v>9</v>
      </c>
      <c r="Y48" s="19">
        <f>RANK(AI48,$AI$45:$AI$62,0)+COUNTIF($AI$44:AI47,AI48)</f>
        <v>9</v>
      </c>
      <c r="Z48" s="19" t="str">
        <f t="shared" si="37"/>
        <v>1899 Hoffenheim</v>
      </c>
      <c r="AA48" s="19">
        <f>COUNTIFS(F4:F23,Z48,G4:G23,"&gt;=0")+COUNTIFS(I4:I23,Z48,H4:H23,"&gt;=0")</f>
        <v>2</v>
      </c>
      <c r="AB48" s="19">
        <f>COUNTIFS(F4:F23,Z48,B4:B23,3)+COUNTIFS(I4:I23,Z48,M4:M23,3)</f>
        <v>1</v>
      </c>
      <c r="AC48" s="19">
        <f>COUNTIFS(F4:F23,Z48,B4:B23,1)+COUNTIFS(I4:I23,Z48,M4:M23,1)</f>
        <v>0</v>
      </c>
      <c r="AD48" s="19">
        <f>COUNTIFS(F4:F23,Z48,B4:B23,0)+COUNTIFS(I4:I23,Z48,M4:M23,0)</f>
        <v>1</v>
      </c>
      <c r="AE48" s="19">
        <f>SUMIF(F4:F23,Z48,G4:G23)+SUMIF(I4:I23,Z48,H4:H23)</f>
        <v>3</v>
      </c>
      <c r="AF48" s="19">
        <f>SUMIF(F4:F23,Z48,H4:H23)+SUMIF(I4:I23,Z48,G4:G23)</f>
        <v>3</v>
      </c>
      <c r="AG48" s="19">
        <f t="shared" ref="AG48:AG62" si="45">+AE48-AF48</f>
        <v>0</v>
      </c>
      <c r="AH48" s="19">
        <f>(AB48*3)+AC48</f>
        <v>3</v>
      </c>
      <c r="AI48" s="19">
        <f t="shared" si="39"/>
        <v>3000.0030000000002</v>
      </c>
      <c r="AJ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W48" s="7"/>
    </row>
    <row r="49" spans="1:49" x14ac:dyDescent="0.25">
      <c r="A49" s="1"/>
      <c r="B49" s="2">
        <f t="shared" si="3"/>
        <v>3</v>
      </c>
      <c r="D49" s="61">
        <f t="shared" si="41"/>
        <v>4</v>
      </c>
      <c r="F49" s="9" t="s">
        <v>79</v>
      </c>
      <c r="G49" s="10">
        <v>4</v>
      </c>
      <c r="H49" s="10">
        <v>0</v>
      </c>
      <c r="I49" s="9" t="s">
        <v>161</v>
      </c>
      <c r="J49" s="6"/>
      <c r="K49" s="61">
        <f t="shared" si="42"/>
        <v>14</v>
      </c>
      <c r="M49" s="2">
        <f t="shared" si="40"/>
        <v>0</v>
      </c>
      <c r="O49" s="2" t="str">
        <f t="shared" si="4"/>
        <v>G</v>
      </c>
      <c r="P49" s="2" t="str">
        <f t="shared" si="5"/>
        <v>P</v>
      </c>
      <c r="S49" s="2" t="str">
        <f t="shared" si="43"/>
        <v>Bayern München1. FC Köln</v>
      </c>
      <c r="T49" s="2" t="str">
        <f t="shared" si="44"/>
        <v>4-0</v>
      </c>
      <c r="V49" s="2" t="str">
        <f t="shared" si="38"/>
        <v>Bayer Leverkusen</v>
      </c>
      <c r="W49" s="2">
        <f t="shared" si="36"/>
        <v>5</v>
      </c>
      <c r="Y49" s="19">
        <f>RANK(AI49,$AI$45:$AI$62,0)+COUNTIF($AI$44:AI48,AI49)</f>
        <v>5</v>
      </c>
      <c r="Z49" s="19" t="str">
        <f t="shared" si="37"/>
        <v>Bayer Leverkusen</v>
      </c>
      <c r="AA49" s="19">
        <f>COUNTIFS(F4:F23,Z49,G4:G23,"&gt;=0")+COUNTIFS(I4:I23,Z49,H4:H23,"&gt;=0")</f>
        <v>2</v>
      </c>
      <c r="AB49" s="19">
        <f>COUNTIFS(F4:F23,Z49,B4:B23,3)+COUNTIFS(I4:I23,Z49,M4:M23,3)</f>
        <v>2</v>
      </c>
      <c r="AC49" s="19">
        <f>COUNTIFS(F4:F23,Z49,B4:B23,1)+COUNTIFS(I4:I23,Z49,M4:M23,1)</f>
        <v>0</v>
      </c>
      <c r="AD49" s="19">
        <f>COUNTIFS(F4:F23,Z49,B4:B23,0)+COUNTIFS(I4:I23,Z49,M4:M23,0)</f>
        <v>0</v>
      </c>
      <c r="AE49" s="19">
        <f>SUMIF(F4:F23,Z49,G4:G23)+SUMIF(I4:I23,Z49,H4:H23)</f>
        <v>6</v>
      </c>
      <c r="AF49" s="19">
        <f>SUMIF(F4:F23,Z49,H4:H23)+SUMIF(I4:I23,Z49,G4:G23)</f>
        <v>3</v>
      </c>
      <c r="AG49" s="19">
        <f t="shared" si="45"/>
        <v>3</v>
      </c>
      <c r="AH49" s="19">
        <f>(AB49*3)+AC49</f>
        <v>6</v>
      </c>
      <c r="AI49" s="19">
        <f t="shared" si="39"/>
        <v>6000.0360000000001</v>
      </c>
      <c r="AJ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W49" s="7"/>
    </row>
    <row r="50" spans="1:49" x14ac:dyDescent="0.25">
      <c r="A50" s="1"/>
      <c r="B50" s="2">
        <f t="shared" si="3"/>
        <v>3</v>
      </c>
      <c r="D50" s="61">
        <f t="shared" si="41"/>
        <v>8</v>
      </c>
      <c r="F50" s="9" t="s">
        <v>83</v>
      </c>
      <c r="G50" s="10">
        <v>2</v>
      </c>
      <c r="H50" s="10">
        <v>0</v>
      </c>
      <c r="I50" s="9" t="s">
        <v>162</v>
      </c>
      <c r="J50" s="6"/>
      <c r="K50" s="61">
        <f t="shared" si="42"/>
        <v>12</v>
      </c>
      <c r="M50" s="2">
        <f t="shared" si="40"/>
        <v>0</v>
      </c>
      <c r="O50" s="2" t="str">
        <f t="shared" si="4"/>
        <v>G</v>
      </c>
      <c r="P50" s="2" t="str">
        <f t="shared" si="5"/>
        <v>P</v>
      </c>
      <c r="S50" s="2" t="str">
        <f t="shared" si="43"/>
        <v>Bayer Leverkusen1. FC Union Berlin</v>
      </c>
      <c r="T50" s="2" t="str">
        <f t="shared" si="44"/>
        <v>2-0</v>
      </c>
      <c r="V50" s="2" t="str">
        <f t="shared" si="38"/>
        <v>Bayern München</v>
      </c>
      <c r="W50" s="2">
        <f t="shared" si="36"/>
        <v>6</v>
      </c>
      <c r="Y50" s="19">
        <f>RANK(AI50,$AI$45:$AI$62,0)+COUNTIF($AI$44:AI49,AI50)</f>
        <v>6</v>
      </c>
      <c r="Z50" s="19" t="str">
        <f t="shared" si="37"/>
        <v>Bayern München</v>
      </c>
      <c r="AA50" s="19">
        <f>COUNTIFS(F4:F23,Z50,G4:G23,"&gt;=0")+COUNTIFS(I4:I23,Z50,H4:H23,"&gt;=0")</f>
        <v>2</v>
      </c>
      <c r="AB50" s="19">
        <f>COUNTIFS(F4:F23,Z50,B4:B23,3)+COUNTIFS(I4:I23,Z50,M4:M23,3)</f>
        <v>1</v>
      </c>
      <c r="AC50" s="19">
        <f>COUNTIFS(F4:F23,Z50,B4:B23,1)+COUNTIFS(I4:I23,Z50,M4:M23,1)</f>
        <v>1</v>
      </c>
      <c r="AD50" s="19">
        <f>COUNTIFS(F4:F23,Z50,B4:B23,0)+COUNTIFS(I4:I23,Z50,M4:M23,0)</f>
        <v>0</v>
      </c>
      <c r="AE50" s="19">
        <f>SUMIF(F4:F23,Z50,G4:G23)+SUMIF(I4:I23,Z50,H4:H23)</f>
        <v>5</v>
      </c>
      <c r="AF50" s="19">
        <f>SUMIF(F4:F23,Z50,H4:H23)+SUMIF(I4:I23,Z50,G4:G23)</f>
        <v>2</v>
      </c>
      <c r="AG50" s="19">
        <f t="shared" si="45"/>
        <v>3</v>
      </c>
      <c r="AH50" s="19">
        <f t="shared" ref="AH50:AH62" si="46">(AB50*3)+AC50</f>
        <v>4</v>
      </c>
      <c r="AI50" s="19">
        <f t="shared" si="39"/>
        <v>4000.0350000000003</v>
      </c>
      <c r="AJ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W50" s="7"/>
    </row>
    <row r="51" spans="1:49" x14ac:dyDescent="0.25">
      <c r="A51" s="1"/>
      <c r="B51" s="2">
        <f t="shared" si="3"/>
        <v>3</v>
      </c>
      <c r="D51" s="61">
        <f t="shared" si="41"/>
        <v>18</v>
      </c>
      <c r="F51" s="9" t="s">
        <v>88</v>
      </c>
      <c r="G51" s="10">
        <v>2</v>
      </c>
      <c r="H51" s="10">
        <v>1</v>
      </c>
      <c r="I51" s="9" t="s">
        <v>148</v>
      </c>
      <c r="J51" s="6"/>
      <c r="K51" s="61">
        <f t="shared" si="42"/>
        <v>17</v>
      </c>
      <c r="M51" s="2">
        <f t="shared" si="40"/>
        <v>0</v>
      </c>
      <c r="O51" s="2" t="str">
        <f t="shared" si="4"/>
        <v>G</v>
      </c>
      <c r="P51" s="2" t="str">
        <f t="shared" si="5"/>
        <v>P</v>
      </c>
      <c r="S51" s="2" t="str">
        <f t="shared" si="43"/>
        <v>Hertha BSCSC Paderborn 07</v>
      </c>
      <c r="T51" s="2" t="str">
        <f t="shared" si="44"/>
        <v>2-1</v>
      </c>
      <c r="V51" s="2" t="str">
        <f t="shared" si="38"/>
        <v>Bor. Mönchengladbach</v>
      </c>
      <c r="W51" s="2">
        <f t="shared" si="36"/>
        <v>7</v>
      </c>
      <c r="Y51" s="19">
        <f>RANK(AI51,$AI$45:$AI$62,0)+COUNTIF($AI$44:AI50,AI51)</f>
        <v>7</v>
      </c>
      <c r="Z51" s="19" t="str">
        <f t="shared" si="37"/>
        <v>Bor. Mönchengladbach</v>
      </c>
      <c r="AA51" s="19">
        <f>COUNTIFS(F4:F23,Z51,G4:G23,"&gt;=0")+COUNTIFS(I4:I23,Z51,H4:H23,"&gt;=0")</f>
        <v>2</v>
      </c>
      <c r="AB51" s="19">
        <f>COUNTIFS(F4:F23,Z51,B4:B23,3)+COUNTIFS(I4:I23,Z51,M4:M23,3)</f>
        <v>1</v>
      </c>
      <c r="AC51" s="19">
        <f>COUNTIFS(F4:F23,Z51,B4:B23,1)+COUNTIFS(I4:I23,Z51,M4:M23,1)</f>
        <v>1</v>
      </c>
      <c r="AD51" s="19">
        <f>COUNTIFS(F4:F23,Z51,B4:B23,0)+COUNTIFS(I4:I23,Z51,M4:M23,0)</f>
        <v>0</v>
      </c>
      <c r="AE51" s="19">
        <f>SUMIF(F4:F23,Z51,G4:G23)+SUMIF(I4:I23,Z51,H4:H23)</f>
        <v>3</v>
      </c>
      <c r="AF51" s="19">
        <f>SUMIF(F4:F23,Z51,H4:H23)+SUMIF(I4:I23,Z51,G4:G23)</f>
        <v>1</v>
      </c>
      <c r="AG51" s="19">
        <f t="shared" si="45"/>
        <v>2</v>
      </c>
      <c r="AH51" s="19">
        <f t="shared" si="46"/>
        <v>4</v>
      </c>
      <c r="AI51" s="19">
        <f t="shared" si="39"/>
        <v>4000.0230000000001</v>
      </c>
      <c r="AJ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W51" s="7"/>
    </row>
    <row r="52" spans="1:49" x14ac:dyDescent="0.25">
      <c r="A52" s="1"/>
      <c r="B52" s="2">
        <f t="shared" si="3"/>
        <v>1</v>
      </c>
      <c r="D52" s="61">
        <f t="shared" si="41"/>
        <v>3</v>
      </c>
      <c r="F52" s="9" t="s">
        <v>91</v>
      </c>
      <c r="G52" s="10">
        <v>1</v>
      </c>
      <c r="H52" s="10">
        <v>1</v>
      </c>
      <c r="I52" s="9" t="s">
        <v>92</v>
      </c>
      <c r="J52" s="6"/>
      <c r="K52" s="61">
        <f t="shared" si="42"/>
        <v>13</v>
      </c>
      <c r="M52" s="2">
        <f t="shared" si="40"/>
        <v>1</v>
      </c>
      <c r="O52" s="2" t="str">
        <f t="shared" si="4"/>
        <v>N</v>
      </c>
      <c r="P52" s="2" t="str">
        <f t="shared" si="5"/>
        <v>N</v>
      </c>
      <c r="S52" s="2" t="str">
        <f t="shared" si="43"/>
        <v>SC FreiburgFC Augsburg</v>
      </c>
      <c r="T52" s="2" t="str">
        <f t="shared" si="44"/>
        <v>1-1</v>
      </c>
      <c r="V52" s="2" t="str">
        <f t="shared" si="38"/>
        <v>Borussia Dortmund</v>
      </c>
      <c r="W52" s="2">
        <f t="shared" si="36"/>
        <v>1</v>
      </c>
      <c r="Y52" s="19">
        <f>RANK(AI52,$AI$45:$AI$62,0)+COUNTIF($AI$44:AI51,AI52)</f>
        <v>1</v>
      </c>
      <c r="Z52" s="19" t="str">
        <f t="shared" si="37"/>
        <v>Borussia Dortmund</v>
      </c>
      <c r="AA52" s="19">
        <f>COUNTIFS(F4:F23,Z52,G4:G23,"&gt;=0")+COUNTIFS(I4:I23,Z52,H4:H23,"&gt;=0")</f>
        <v>2</v>
      </c>
      <c r="AB52" s="19">
        <f>COUNTIFS(F4:F23,Z52,B4:B23,3)+COUNTIFS(I4:I23,Z52,M4:M23,3)</f>
        <v>2</v>
      </c>
      <c r="AC52" s="19">
        <f>COUNTIFS(F4:F23,Z52,B4:B23,1)+COUNTIFS(I4:I23,Z52,M4:M23,1)</f>
        <v>0</v>
      </c>
      <c r="AD52" s="19">
        <f>COUNTIFS(F4:F23,Z52,B4:B23,0)+COUNTIFS(I4:I23,Z52,M4:M23,0)</f>
        <v>0</v>
      </c>
      <c r="AE52" s="19">
        <f>SUMIF(F4:F23,Z52,G4:G23)+SUMIF(I4:I23,Z52,H4:H23)</f>
        <v>8</v>
      </c>
      <c r="AF52" s="19">
        <f>SUMIF(F4:F23,Z52,H4:H23)+SUMIF(I4:I23,Z52,G4:G23)</f>
        <v>2</v>
      </c>
      <c r="AG52" s="19">
        <f t="shared" si="45"/>
        <v>6</v>
      </c>
      <c r="AH52" s="19">
        <f t="shared" si="46"/>
        <v>6</v>
      </c>
      <c r="AI52" s="19">
        <f t="shared" si="39"/>
        <v>6000.0680000000002</v>
      </c>
      <c r="AJ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W52" s="7"/>
    </row>
    <row r="53" spans="1:49" x14ac:dyDescent="0.25">
      <c r="A53" s="1"/>
      <c r="B53" s="2">
        <f t="shared" si="3"/>
        <v>0</v>
      </c>
      <c r="D53" s="61">
        <f t="shared" si="41"/>
        <v>10</v>
      </c>
      <c r="F53" s="9" t="s">
        <v>87</v>
      </c>
      <c r="G53" s="10">
        <v>0</v>
      </c>
      <c r="H53" s="10">
        <v>3</v>
      </c>
      <c r="I53" s="9" t="s">
        <v>81</v>
      </c>
      <c r="J53" s="6"/>
      <c r="K53" s="61">
        <f t="shared" si="42"/>
        <v>1</v>
      </c>
      <c r="M53" s="2">
        <f t="shared" si="40"/>
        <v>3</v>
      </c>
      <c r="O53" s="2" t="str">
        <f t="shared" si="4"/>
        <v>P</v>
      </c>
      <c r="P53" s="2" t="str">
        <f t="shared" si="5"/>
        <v>G</v>
      </c>
      <c r="S53" s="2" t="str">
        <f t="shared" si="43"/>
        <v>Werder BremenRB Leipzig</v>
      </c>
      <c r="T53" s="2" t="str">
        <f t="shared" si="44"/>
        <v>0-3</v>
      </c>
      <c r="V53" s="2" t="str">
        <f t="shared" si="38"/>
        <v>Eintracht Frankfurt</v>
      </c>
      <c r="W53" s="2">
        <f t="shared" si="36"/>
        <v>10</v>
      </c>
      <c r="Y53" s="19">
        <f>RANK(AI53,$AI$45:$AI$62,0)+COUNTIF($AI$44:AI52,AI53)</f>
        <v>10</v>
      </c>
      <c r="Z53" s="19" t="str">
        <f t="shared" si="37"/>
        <v>Eintracht Frankfurt</v>
      </c>
      <c r="AA53" s="19">
        <f>COUNTIFS(F4:F23,Z53,G4:G23,"&gt;=0")+COUNTIFS(I4:I23,Z53,H4:H23,"&gt;=0")</f>
        <v>2</v>
      </c>
      <c r="AB53" s="19">
        <f>COUNTIFS(F4:F23,Z53,B4:B23,3)+COUNTIFS(I4:I23,Z53,M4:M23,3)</f>
        <v>1</v>
      </c>
      <c r="AC53" s="19">
        <f>COUNTIFS(F4:F23,Z53,B4:B23,1)+COUNTIFS(I4:I23,Z53,M4:M23,1)</f>
        <v>0</v>
      </c>
      <c r="AD53" s="19">
        <f>COUNTIFS(F4:F23,Z53,B4:B23,0)+COUNTIFS(I4:I23,Z53,M4:M23,0)</f>
        <v>1</v>
      </c>
      <c r="AE53" s="19">
        <f>SUMIF(F4:F23,Z53,G4:G23)+SUMIF(I4:I23,Z53,H4:H23)</f>
        <v>2</v>
      </c>
      <c r="AF53" s="19">
        <f>SUMIF(F4:F23,Z53,H4:H23)+SUMIF(I4:I23,Z53,G4:G23)</f>
        <v>2</v>
      </c>
      <c r="AG53" s="19">
        <f t="shared" si="45"/>
        <v>0</v>
      </c>
      <c r="AH53" s="19">
        <f t="shared" si="46"/>
        <v>3</v>
      </c>
      <c r="AI53" s="19">
        <f t="shared" si="39"/>
        <v>3000.002</v>
      </c>
      <c r="AJ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W53" s="7"/>
    </row>
    <row r="54" spans="1:49" x14ac:dyDescent="0.25">
      <c r="A54" s="1"/>
      <c r="B54" s="2">
        <f t="shared" si="3"/>
        <v>3</v>
      </c>
      <c r="D54" s="61">
        <f t="shared" si="41"/>
        <v>7</v>
      </c>
      <c r="F54" s="9" t="s">
        <v>82</v>
      </c>
      <c r="G54" s="10">
        <v>2</v>
      </c>
      <c r="H54" s="10">
        <v>1</v>
      </c>
      <c r="I54" s="9" t="s">
        <v>89</v>
      </c>
      <c r="J54" s="6"/>
      <c r="K54" s="61">
        <f t="shared" si="42"/>
        <v>11</v>
      </c>
      <c r="M54" s="2">
        <f t="shared" si="40"/>
        <v>0</v>
      </c>
      <c r="O54" s="2" t="str">
        <f t="shared" si="4"/>
        <v>G</v>
      </c>
      <c r="P54" s="2" t="str">
        <f t="shared" si="5"/>
        <v>P</v>
      </c>
      <c r="S54" s="2" t="str">
        <f t="shared" si="43"/>
        <v>Bor. MönchengladbachFortuna Düsseldorf</v>
      </c>
      <c r="T54" s="2" t="str">
        <f t="shared" si="44"/>
        <v>2-1</v>
      </c>
      <c r="V54" s="2" t="str">
        <f t="shared" si="38"/>
        <v>FC Augsburg</v>
      </c>
      <c r="W54" s="2">
        <f t="shared" si="36"/>
        <v>13</v>
      </c>
      <c r="Y54" s="19">
        <f>RANK(AI54,$AI$45:$AI$62,0)+COUNTIF($AI$44:AI53,AI54)</f>
        <v>13</v>
      </c>
      <c r="Z54" s="19" t="str">
        <f t="shared" si="37"/>
        <v>FC Augsburg</v>
      </c>
      <c r="AA54" s="19">
        <f>COUNTIFS(F4:F23,Z54,G4:G23,"&gt;=0")+COUNTIFS(I4:I23,Z54,H4:H23,"&gt;=0")</f>
        <v>2</v>
      </c>
      <c r="AB54" s="19">
        <f>COUNTIFS(F4:F23,Z54,B4:B23,3)+COUNTIFS(I4:I23,Z54,M4:M23,3)</f>
        <v>0</v>
      </c>
      <c r="AC54" s="19">
        <f>COUNTIFS(F4:F23,Z54,B4:B23,1)+COUNTIFS(I4:I23,Z54,M4:M23,1)</f>
        <v>1</v>
      </c>
      <c r="AD54" s="19">
        <f>COUNTIFS(F4:F23,Z54,B4:B23,0)+COUNTIFS(I4:I23,Z54,M4:M23,0)</f>
        <v>1</v>
      </c>
      <c r="AE54" s="19">
        <f>SUMIF(F4:F23,Z54,G4:G23)+SUMIF(I4:I23,Z54,H4:H23)</f>
        <v>2</v>
      </c>
      <c r="AF54" s="19">
        <f>SUMIF(F4:F23,Z54,H4:H23)+SUMIF(I4:I23,Z54,G4:G23)</f>
        <v>6</v>
      </c>
      <c r="AG54" s="19">
        <f t="shared" si="45"/>
        <v>-4</v>
      </c>
      <c r="AH54" s="19">
        <f t="shared" si="46"/>
        <v>1</v>
      </c>
      <c r="AI54" s="19">
        <f t="shared" si="39"/>
        <v>999.96199999999999</v>
      </c>
      <c r="AJ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W54" s="7"/>
    </row>
    <row r="55" spans="1:49" x14ac:dyDescent="0.25">
      <c r="A55" s="1"/>
      <c r="B55" s="2">
        <f t="shared" si="3"/>
        <v>1</v>
      </c>
      <c r="D55" s="61">
        <f t="shared" si="41"/>
        <v>9</v>
      </c>
      <c r="F55" s="9" t="s">
        <v>84</v>
      </c>
      <c r="G55" s="10">
        <v>2</v>
      </c>
      <c r="H55" s="10">
        <v>2</v>
      </c>
      <c r="I55" s="9" t="s">
        <v>80</v>
      </c>
      <c r="J55" s="6"/>
      <c r="K55" s="61">
        <f t="shared" si="42"/>
        <v>2</v>
      </c>
      <c r="M55" s="2">
        <f t="shared" si="40"/>
        <v>1</v>
      </c>
      <c r="O55" s="2" t="str">
        <f t="shared" si="4"/>
        <v>N</v>
      </c>
      <c r="P55" s="2" t="str">
        <f t="shared" si="5"/>
        <v>N</v>
      </c>
      <c r="S55" s="2" t="str">
        <f t="shared" si="43"/>
        <v>Eintracht FrankfurtBorussia Dortmund</v>
      </c>
      <c r="T55" s="2" t="str">
        <f t="shared" si="44"/>
        <v>2-2</v>
      </c>
      <c r="V55" s="2" t="str">
        <f t="shared" si="38"/>
        <v>FC Schalke 04</v>
      </c>
      <c r="W55" s="2">
        <f t="shared" si="36"/>
        <v>12</v>
      </c>
      <c r="Y55" s="19">
        <f>RANK(AI55,$AI$45:$AI$62,0)+COUNTIF($AI$44:AI54,AI55)</f>
        <v>12</v>
      </c>
      <c r="Z55" s="19" t="str">
        <f t="shared" si="37"/>
        <v>FC Schalke 04</v>
      </c>
      <c r="AA55" s="19">
        <f>COUNTIFS(F4:F23,Z55,G4:G23,"&gt;=0")+COUNTIFS(I4:I23,Z55,H4:H23,"&gt;=0")</f>
        <v>2</v>
      </c>
      <c r="AB55" s="19">
        <f>COUNTIFS(F4:F23,Z55,B4:B23,3)+COUNTIFS(I4:I23,Z55,M4:M23,3)</f>
        <v>0</v>
      </c>
      <c r="AC55" s="19">
        <f>COUNTIFS(F4:F23,Z55,B4:B23,1)+COUNTIFS(I4:I23,Z55,M4:M23,1)</f>
        <v>1</v>
      </c>
      <c r="AD55" s="19">
        <f>COUNTIFS(F4:F23,Z55,B4:B23,0)+COUNTIFS(I4:I23,Z55,M4:M23,0)</f>
        <v>1</v>
      </c>
      <c r="AE55" s="19">
        <f>SUMIF(F4:F23,Z55,G4:G23)+SUMIF(I4:I23,Z55,H4:H23)</f>
        <v>0</v>
      </c>
      <c r="AF55" s="19">
        <f>SUMIF(F4:F23,Z55,H4:H23)+SUMIF(I4:I23,Z55,G4:G23)</f>
        <v>3</v>
      </c>
      <c r="AG55" s="19">
        <f t="shared" si="45"/>
        <v>-3</v>
      </c>
      <c r="AH55" s="19">
        <f t="shared" si="46"/>
        <v>1</v>
      </c>
      <c r="AI55" s="19">
        <f t="shared" si="39"/>
        <v>999.97</v>
      </c>
      <c r="AJ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W55" s="7"/>
    </row>
    <row r="56" spans="1:49" x14ac:dyDescent="0.25">
      <c r="A56" s="1"/>
      <c r="B56" s="2">
        <f t="shared" si="3"/>
        <v>1</v>
      </c>
      <c r="D56" s="61">
        <f t="shared" si="41"/>
        <v>5</v>
      </c>
      <c r="F56" s="9" t="s">
        <v>85</v>
      </c>
      <c r="G56" s="10">
        <v>1</v>
      </c>
      <c r="H56" s="10">
        <v>1</v>
      </c>
      <c r="I56" s="9" t="s">
        <v>86</v>
      </c>
      <c r="J56" s="6"/>
      <c r="K56" s="61">
        <f t="shared" si="42"/>
        <v>16</v>
      </c>
      <c r="M56" s="2">
        <f t="shared" si="40"/>
        <v>1</v>
      </c>
      <c r="O56" s="2" t="str">
        <f t="shared" si="4"/>
        <v>N</v>
      </c>
      <c r="P56" s="2" t="str">
        <f t="shared" si="5"/>
        <v>N</v>
      </c>
      <c r="S56" s="2" t="str">
        <f t="shared" si="43"/>
        <v>VfL Wolfsburg1899 Hoffenheim</v>
      </c>
      <c r="T56" s="2" t="str">
        <f t="shared" si="44"/>
        <v>1-1</v>
      </c>
      <c r="V56" s="2" t="str">
        <f t="shared" si="38"/>
        <v>Fortuna Düsseldorf</v>
      </c>
      <c r="W56" s="2">
        <f t="shared" si="36"/>
        <v>8</v>
      </c>
      <c r="Y56" s="19">
        <f>RANK(AI56,$AI$45:$AI$62,0)+COUNTIF($AI$44:AI55,AI56)</f>
        <v>8</v>
      </c>
      <c r="Z56" s="19" t="str">
        <f t="shared" si="37"/>
        <v>Fortuna Düsseldorf</v>
      </c>
      <c r="AA56" s="19">
        <f>COUNTIFS(F4:F23,Z56,G4:G23,"&gt;=0")+COUNTIFS(I4:I23,Z56,H4:H23,"&gt;=0")</f>
        <v>2</v>
      </c>
      <c r="AB56" s="19">
        <f>COUNTIFS(F4:F23,Z56,B4:B23,3)+COUNTIFS(I4:I23,Z56,M4:M23,3)</f>
        <v>1</v>
      </c>
      <c r="AC56" s="19">
        <f>COUNTIFS(F4:F23,Z56,B4:B23,1)+COUNTIFS(I4:I23,Z56,M4:M23,1)</f>
        <v>0</v>
      </c>
      <c r="AD56" s="19">
        <f>COUNTIFS(F4:F23,Z56,B4:B23,0)+COUNTIFS(I4:I23,Z56,M4:M23,0)</f>
        <v>1</v>
      </c>
      <c r="AE56" s="19">
        <f>SUMIF(F4:F23,Z56,G4:G23)+SUMIF(I4:I23,Z56,H4:H23)</f>
        <v>4</v>
      </c>
      <c r="AF56" s="19">
        <f>SUMIF(F4:F23,Z56,H4:H23)+SUMIF(I4:I23,Z56,G4:G23)</f>
        <v>4</v>
      </c>
      <c r="AG56" s="19">
        <f t="shared" si="45"/>
        <v>0</v>
      </c>
      <c r="AH56" s="19">
        <f t="shared" si="46"/>
        <v>3</v>
      </c>
      <c r="AI56" s="19">
        <f t="shared" si="39"/>
        <v>3000.0039999999999</v>
      </c>
      <c r="AJ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W56" s="7"/>
    </row>
    <row r="57" spans="1:49" x14ac:dyDescent="0.25">
      <c r="A57" s="1"/>
      <c r="F57" s="107"/>
      <c r="G57" s="108"/>
      <c r="H57" s="108"/>
      <c r="I57" s="107"/>
      <c r="J57" s="6"/>
      <c r="O57" s="2" t="str">
        <f t="shared" si="4"/>
        <v/>
      </c>
      <c r="P57" s="2" t="str">
        <f t="shared" si="5"/>
        <v/>
      </c>
      <c r="V57" s="2" t="str">
        <f t="shared" si="38"/>
        <v>Hertha BSC</v>
      </c>
      <c r="W57" s="2">
        <f t="shared" si="36"/>
        <v>11</v>
      </c>
      <c r="Y57" s="19">
        <f>RANK(AI57,$AI$45:$AI$62,0)+COUNTIF($AI$44:AI56,AI57)</f>
        <v>11</v>
      </c>
      <c r="Z57" s="19" t="str">
        <f t="shared" si="37"/>
        <v>Hertha BSC</v>
      </c>
      <c r="AA57" s="19">
        <f>COUNTIFS(F4:F23,Z57,G4:G23,"&gt;=0")+COUNTIFS(I4:I23,Z57,H4:H23,"&gt;=0")</f>
        <v>2</v>
      </c>
      <c r="AB57" s="19">
        <f>COUNTIFS(F4:F23,Z57,B4:B23,3)+COUNTIFS(I4:I23,Z57,M4:M23,3)</f>
        <v>0</v>
      </c>
      <c r="AC57" s="19">
        <f>COUNTIFS(F4:F23,Z57,B4:B23,1)+COUNTIFS(I4:I23,Z57,M4:M23,1)</f>
        <v>1</v>
      </c>
      <c r="AD57" s="19">
        <f>COUNTIFS(F4:F23,Z57,B4:B23,0)+COUNTIFS(I4:I23,Z57,M4:M23,0)</f>
        <v>1</v>
      </c>
      <c r="AE57" s="19">
        <f>SUMIF(F4:F23,Z57,G4:G23)+SUMIF(I4:I23,Z57,H4:H23)</f>
        <v>2</v>
      </c>
      <c r="AF57" s="19">
        <f>SUMIF(F4:F23,Z57,H4:H23)+SUMIF(I4:I23,Z57,G4:G23)</f>
        <v>5</v>
      </c>
      <c r="AG57" s="19">
        <f t="shared" si="45"/>
        <v>-3</v>
      </c>
      <c r="AH57" s="19">
        <f t="shared" si="46"/>
        <v>1</v>
      </c>
      <c r="AI57" s="19">
        <f t="shared" si="39"/>
        <v>999.97199999999998</v>
      </c>
      <c r="AJ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W57" s="7"/>
    </row>
    <row r="58" spans="1:49" x14ac:dyDescent="0.25">
      <c r="A58" s="1"/>
      <c r="B58" s="2" t="str">
        <f t="shared" si="3"/>
        <v/>
      </c>
      <c r="F58" s="154" t="s">
        <v>158</v>
      </c>
      <c r="G58" s="154"/>
      <c r="H58" s="154"/>
      <c r="I58" s="154"/>
      <c r="J58" s="6"/>
      <c r="M58" s="2" t="str">
        <f t="shared" ref="M58:M67" si="47">IF(H58="","",IF(H58&gt;G58,3,IF(H58=G58,1,0)))</f>
        <v/>
      </c>
      <c r="O58" s="2" t="str">
        <f t="shared" si="4"/>
        <v/>
      </c>
      <c r="P58" s="2" t="str">
        <f t="shared" si="5"/>
        <v/>
      </c>
      <c r="V58" s="2" t="str">
        <f t="shared" si="38"/>
        <v>RB Leipzig</v>
      </c>
      <c r="W58" s="2">
        <f t="shared" si="36"/>
        <v>2</v>
      </c>
      <c r="Y58" s="19">
        <f>RANK(AI58,$AI$45:$AI$62,0)+COUNTIF($AI$44:AI57,AI58)</f>
        <v>2</v>
      </c>
      <c r="Z58" s="19" t="str">
        <f t="shared" si="37"/>
        <v>RB Leipzig</v>
      </c>
      <c r="AA58" s="19">
        <f>COUNTIFS(F4:F23,Z58,G4:G23,"&gt;=0")+COUNTIFS(I4:I23,Z58,H4:H23,"&gt;=0")</f>
        <v>2</v>
      </c>
      <c r="AB58" s="19">
        <f>COUNTIFS(F4:F23,Z58,B4:B23,3)+COUNTIFS(I4:I23,Z58,M4:M23,3)</f>
        <v>2</v>
      </c>
      <c r="AC58" s="19">
        <f>COUNTIFS(F4:F23,Z58,B4:B23,1)+COUNTIFS(I4:I23,Z58,M4:M23,1)</f>
        <v>0</v>
      </c>
      <c r="AD58" s="19">
        <f>COUNTIFS(F4:F23,Z58,B4:B23,0)+COUNTIFS(I4:I23,Z58,M4:M23,0)</f>
        <v>0</v>
      </c>
      <c r="AE58" s="19">
        <f>SUMIF(F4:F23,Z58,G4:G23)+SUMIF(I4:I23,Z58,H4:H23)</f>
        <v>6</v>
      </c>
      <c r="AF58" s="19">
        <f>SUMIF(F4:F23,Z58,H4:H23)+SUMIF(I4:I23,Z58,G4:G23)</f>
        <v>1</v>
      </c>
      <c r="AG58" s="19">
        <f t="shared" si="45"/>
        <v>5</v>
      </c>
      <c r="AH58" s="19">
        <f t="shared" si="46"/>
        <v>6</v>
      </c>
      <c r="AI58" s="19">
        <f t="shared" si="39"/>
        <v>6000.0560000000005</v>
      </c>
      <c r="AJ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W58" s="7"/>
    </row>
    <row r="59" spans="1:49" x14ac:dyDescent="0.25">
      <c r="A59" s="1"/>
      <c r="B59" s="2">
        <f t="shared" si="3"/>
        <v>0</v>
      </c>
      <c r="D59" s="61">
        <f t="shared" ref="D59:D67" si="48">IFERROR(VLOOKUP(F59,$V$105:$W$122,2,FALSE),"")</f>
        <v>14</v>
      </c>
      <c r="F59" s="9" t="s">
        <v>162</v>
      </c>
      <c r="G59" s="10">
        <v>1</v>
      </c>
      <c r="H59" s="10">
        <v>2</v>
      </c>
      <c r="I59" s="9" t="s">
        <v>84</v>
      </c>
      <c r="J59" s="6"/>
      <c r="K59" s="61">
        <f t="shared" ref="K59:K67" si="49">IFERROR(VLOOKUP(I59,$V$105:$W$122,2,FALSE),"")</f>
        <v>9</v>
      </c>
      <c r="M59" s="2">
        <f t="shared" si="47"/>
        <v>3</v>
      </c>
      <c r="O59" s="2" t="str">
        <f t="shared" si="4"/>
        <v>P</v>
      </c>
      <c r="P59" s="2" t="str">
        <f t="shared" si="5"/>
        <v>G</v>
      </c>
      <c r="S59" s="2" t="str">
        <f t="shared" ref="S59:S67" si="50">IF(M59&lt;&gt;"",F59&amp;I59,"")</f>
        <v>1. FC Union BerlinEintracht Frankfurt</v>
      </c>
      <c r="T59" s="2" t="str">
        <f t="shared" ref="T59:T67" si="51">IF(S59&lt;&gt;"",G59&amp;"-"&amp;H59,"")</f>
        <v>1-2</v>
      </c>
      <c r="V59" s="2" t="str">
        <f t="shared" si="38"/>
        <v>SC Freiburg</v>
      </c>
      <c r="W59" s="2">
        <f t="shared" si="36"/>
        <v>3</v>
      </c>
      <c r="Y59" s="19">
        <f>RANK(AI59,$AI$45:$AI$62,0)+COUNTIF($AI$44:AI58,AI59)</f>
        <v>3</v>
      </c>
      <c r="Z59" s="19" t="str">
        <f t="shared" si="37"/>
        <v>SC Freiburg</v>
      </c>
      <c r="AA59" s="19">
        <f>COUNTIFS(F4:F23,Z59,G4:G23,"&gt;=0")+COUNTIFS(I4:I23,Z59,H4:H23,"&gt;=0")</f>
        <v>2</v>
      </c>
      <c r="AB59" s="19">
        <f>COUNTIFS(F4:F23,Z59,B4:B23,3)+COUNTIFS(I4:I23,Z59,M4:M23,3)</f>
        <v>2</v>
      </c>
      <c r="AC59" s="19">
        <f>COUNTIFS(F4:F23,Z59,B4:B23,1)+COUNTIFS(I4:I23,Z59,M4:M23,1)</f>
        <v>0</v>
      </c>
      <c r="AD59" s="19">
        <f>COUNTIFS(F4:F23,Z59,B4:B23,0)+COUNTIFS(I4:I23,Z59,M4:M23,0)</f>
        <v>0</v>
      </c>
      <c r="AE59" s="19">
        <f>SUMIF(F4:F23,Z59,G4:G23)+SUMIF(I4:I23,Z59,H4:H23)</f>
        <v>6</v>
      </c>
      <c r="AF59" s="19">
        <f>SUMIF(F4:F23,Z59,H4:H23)+SUMIF(I4:I23,Z59,G4:G23)</f>
        <v>1</v>
      </c>
      <c r="AG59" s="19">
        <f t="shared" si="45"/>
        <v>5</v>
      </c>
      <c r="AH59" s="19">
        <f t="shared" si="46"/>
        <v>6</v>
      </c>
      <c r="AI59" s="19">
        <f t="shared" si="39"/>
        <v>6000.0560000000005</v>
      </c>
      <c r="AJ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W59" s="7"/>
    </row>
    <row r="60" spans="1:49" x14ac:dyDescent="0.25">
      <c r="A60" s="1"/>
      <c r="B60" s="2">
        <f t="shared" si="3"/>
        <v>0</v>
      </c>
      <c r="D60" s="61">
        <f t="shared" si="48"/>
        <v>1</v>
      </c>
      <c r="F60" s="9" t="s">
        <v>81</v>
      </c>
      <c r="G60" s="10">
        <v>1</v>
      </c>
      <c r="H60" s="10">
        <v>3</v>
      </c>
      <c r="I60" s="9" t="s">
        <v>93</v>
      </c>
      <c r="J60" s="6"/>
      <c r="K60" s="61">
        <f t="shared" si="49"/>
        <v>5</v>
      </c>
      <c r="M60" s="2">
        <f t="shared" si="47"/>
        <v>3</v>
      </c>
      <c r="O60" s="2" t="str">
        <f t="shared" si="4"/>
        <v>P</v>
      </c>
      <c r="P60" s="2" t="str">
        <f t="shared" si="5"/>
        <v>G</v>
      </c>
      <c r="S60" s="2" t="str">
        <f t="shared" si="50"/>
        <v>RB LeipzigFC Schalke 04</v>
      </c>
      <c r="T60" s="2" t="str">
        <f t="shared" si="51"/>
        <v>1-3</v>
      </c>
      <c r="V60" s="2" t="str">
        <f t="shared" si="38"/>
        <v>SC Paderborn 07</v>
      </c>
      <c r="W60" s="2">
        <f t="shared" si="36"/>
        <v>15</v>
      </c>
      <c r="Y60" s="19">
        <f>RANK(AI60,$AI$45:$AI$62,0)+COUNTIF($AI$44:AI59,AI60)</f>
        <v>15</v>
      </c>
      <c r="Z60" s="19" t="str">
        <f t="shared" si="37"/>
        <v>SC Paderborn 07</v>
      </c>
      <c r="AA60" s="19">
        <f>COUNTIFS(F4:F23,Z60,G4:G23,"&gt;=0")+COUNTIFS(I4:I23,Z60,H4:H23,"&gt;=0")</f>
        <v>2</v>
      </c>
      <c r="AB60" s="19">
        <f>COUNTIFS(F4:F23,Z60,B4:B23,3)+COUNTIFS(I4:I23,Z60,M4:M23,3)</f>
        <v>0</v>
      </c>
      <c r="AC60" s="19">
        <f>COUNTIFS(F4:F23,Z60,B4:B23,1)+COUNTIFS(I4:I23,Z60,M4:M23,1)</f>
        <v>0</v>
      </c>
      <c r="AD60" s="19">
        <f>COUNTIFS(F4:F23,Z60,B4:B23,0)+COUNTIFS(I4:I23,Z60,M4:M23,0)</f>
        <v>2</v>
      </c>
      <c r="AE60" s="19">
        <f>SUMIF(F4:F23,Z60,G4:G23)+SUMIF(I4:I23,Z60,H4:H23)</f>
        <v>3</v>
      </c>
      <c r="AF60" s="19">
        <f>SUMIF(F4:F23,Z60,H4:H23)+SUMIF(I4:I23,Z60,G4:G23)</f>
        <v>6</v>
      </c>
      <c r="AG60" s="19">
        <f t="shared" si="45"/>
        <v>-3</v>
      </c>
      <c r="AH60" s="19">
        <f t="shared" si="46"/>
        <v>0</v>
      </c>
      <c r="AI60" s="19">
        <f t="shared" si="39"/>
        <v>-2.7E-2</v>
      </c>
      <c r="AJ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W60" s="7"/>
    </row>
    <row r="61" spans="1:49" x14ac:dyDescent="0.25">
      <c r="A61" s="1"/>
      <c r="B61" s="2">
        <f t="shared" si="3"/>
        <v>0</v>
      </c>
      <c r="D61" s="61">
        <f t="shared" si="48"/>
        <v>11</v>
      </c>
      <c r="F61" s="9" t="s">
        <v>86</v>
      </c>
      <c r="G61" s="10">
        <v>0</v>
      </c>
      <c r="H61" s="10">
        <v>3</v>
      </c>
      <c r="I61" s="9" t="s">
        <v>82</v>
      </c>
      <c r="J61" s="6"/>
      <c r="K61" s="61">
        <f t="shared" si="49"/>
        <v>6</v>
      </c>
      <c r="M61" s="2">
        <f t="shared" si="47"/>
        <v>3</v>
      </c>
      <c r="O61" s="2" t="str">
        <f t="shared" si="4"/>
        <v>P</v>
      </c>
      <c r="P61" s="2" t="str">
        <f t="shared" si="5"/>
        <v>G</v>
      </c>
      <c r="S61" s="2" t="str">
        <f t="shared" si="50"/>
        <v>1899 HoffenheimBor. Mönchengladbach</v>
      </c>
      <c r="T61" s="2" t="str">
        <f t="shared" si="51"/>
        <v>0-3</v>
      </c>
      <c r="V61" s="2" t="str">
        <f t="shared" si="38"/>
        <v>VfL Wolfsburg</v>
      </c>
      <c r="W61" s="2">
        <f t="shared" si="36"/>
        <v>4</v>
      </c>
      <c r="Y61" s="19">
        <f>RANK(AI61,$AI$45:$AI$62,0)+COUNTIF($AI$44:AI60,AI61)</f>
        <v>4</v>
      </c>
      <c r="Z61" s="19" t="str">
        <f t="shared" si="37"/>
        <v>VfL Wolfsburg</v>
      </c>
      <c r="AA61" s="19">
        <f>COUNTIFS(F4:F23,Z61,G4:G23,"&gt;=0")+COUNTIFS(I4:I23,Z61,H4:H23,"&gt;=0")</f>
        <v>2</v>
      </c>
      <c r="AB61" s="19">
        <f>COUNTIFS(F4:F23,Z61,B4:B23,3)+COUNTIFS(I4:I23,Z61,M4:M23,3)</f>
        <v>2</v>
      </c>
      <c r="AC61" s="19">
        <f>COUNTIFS(F4:F23,Z61,B4:B23,1)+COUNTIFS(I4:I23,Z61,M4:M23,1)</f>
        <v>0</v>
      </c>
      <c r="AD61" s="19">
        <f>COUNTIFS(F4:F23,Z61,B4:B23,0)+COUNTIFS(I4:I23,Z61,M4:M23,0)</f>
        <v>0</v>
      </c>
      <c r="AE61" s="19">
        <f>SUMIF(F4:F23,Z61,G4:G23)+SUMIF(I4:I23,Z61,H4:H23)</f>
        <v>5</v>
      </c>
      <c r="AF61" s="19">
        <f>SUMIF(F4:F23,Z61,H4:H23)+SUMIF(I4:I23,Z61,G4:G23)</f>
        <v>1</v>
      </c>
      <c r="AG61" s="19">
        <f t="shared" si="45"/>
        <v>4</v>
      </c>
      <c r="AH61" s="19">
        <f t="shared" si="46"/>
        <v>6</v>
      </c>
      <c r="AI61" s="19">
        <f t="shared" si="39"/>
        <v>6000.0450000000001</v>
      </c>
      <c r="AJ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W61" s="7"/>
    </row>
    <row r="62" spans="1:49" x14ac:dyDescent="0.25">
      <c r="A62" s="1"/>
      <c r="B62" s="2">
        <f t="shared" si="3"/>
        <v>0</v>
      </c>
      <c r="D62" s="61">
        <f t="shared" si="48"/>
        <v>17</v>
      </c>
      <c r="F62" s="9" t="s">
        <v>90</v>
      </c>
      <c r="G62" s="10">
        <v>0</v>
      </c>
      <c r="H62" s="10">
        <v>1</v>
      </c>
      <c r="I62" s="9" t="s">
        <v>85</v>
      </c>
      <c r="J62" s="6"/>
      <c r="K62" s="61">
        <f t="shared" si="49"/>
        <v>8</v>
      </c>
      <c r="M62" s="2">
        <f t="shared" si="47"/>
        <v>3</v>
      </c>
      <c r="O62" s="2" t="str">
        <f t="shared" si="4"/>
        <v>P</v>
      </c>
      <c r="P62" s="2" t="str">
        <f t="shared" si="5"/>
        <v>G</v>
      </c>
      <c r="S62" s="2" t="str">
        <f t="shared" si="50"/>
        <v>1. FSV Mainz 05VfL Wolfsburg</v>
      </c>
      <c r="T62" s="2" t="str">
        <f t="shared" si="51"/>
        <v>0-1</v>
      </c>
      <c r="V62" s="2" t="str">
        <f t="shared" si="38"/>
        <v>Werder Bremen</v>
      </c>
      <c r="W62" s="2">
        <f t="shared" si="36"/>
        <v>16</v>
      </c>
      <c r="Y62" s="19">
        <f>RANK(AI62,$AI$45:$AI$62,0)+COUNTIF($AI$44:AI61,AI62)</f>
        <v>16</v>
      </c>
      <c r="Z62" s="19" t="str">
        <f t="shared" si="37"/>
        <v>Werder Bremen</v>
      </c>
      <c r="AA62" s="19">
        <f>COUNTIFS(F4:F23,Z62,G4:G23,"&gt;=0")+COUNTIFS(I4:I23,Z62,H4:H23,"&gt;=0")</f>
        <v>2</v>
      </c>
      <c r="AB62" s="19">
        <f>COUNTIFS(F4:F23,Z62,B4:B23,3)+COUNTIFS(I4:I23,Z62,M4:M23,3)</f>
        <v>0</v>
      </c>
      <c r="AC62" s="19">
        <f>COUNTIFS(F4:F23,Z62,B4:B23,1)+COUNTIFS(I4:I23,Z62,M4:M23,1)</f>
        <v>0</v>
      </c>
      <c r="AD62" s="19">
        <f>COUNTIFS(F4:F23,Z62,B4:B23,0)+COUNTIFS(I4:I23,Z62,M4:M23,0)</f>
        <v>2</v>
      </c>
      <c r="AE62" s="19">
        <f>SUMIF(F4:F23,Z62,G4:G23)+SUMIF(I4:I23,Z62,H4:H23)</f>
        <v>3</v>
      </c>
      <c r="AF62" s="19">
        <f>SUMIF(F4:F23,Z62,H4:H23)+SUMIF(I4:I23,Z62,G4:G23)</f>
        <v>6</v>
      </c>
      <c r="AG62" s="19">
        <f t="shared" si="45"/>
        <v>-3</v>
      </c>
      <c r="AH62" s="19">
        <f t="shared" si="46"/>
        <v>0</v>
      </c>
      <c r="AI62" s="19">
        <f t="shared" si="39"/>
        <v>-2.7E-2</v>
      </c>
      <c r="AJ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W62" s="7"/>
    </row>
    <row r="63" spans="1:49" x14ac:dyDescent="0.25">
      <c r="A63" s="1"/>
      <c r="B63" s="2">
        <f t="shared" si="3"/>
        <v>0</v>
      </c>
      <c r="D63" s="61">
        <f t="shared" si="48"/>
        <v>12</v>
      </c>
      <c r="F63" s="9" t="s">
        <v>92</v>
      </c>
      <c r="G63" s="10">
        <v>0</v>
      </c>
      <c r="H63" s="10">
        <v>3</v>
      </c>
      <c r="I63" s="9" t="s">
        <v>83</v>
      </c>
      <c r="J63" s="6"/>
      <c r="K63" s="61">
        <f t="shared" si="49"/>
        <v>7</v>
      </c>
      <c r="M63" s="2">
        <f t="shared" si="47"/>
        <v>3</v>
      </c>
      <c r="O63" s="2" t="str">
        <f t="shared" si="4"/>
        <v>P</v>
      </c>
      <c r="P63" s="2" t="str">
        <f t="shared" si="5"/>
        <v>G</v>
      </c>
      <c r="S63" s="2" t="str">
        <f t="shared" si="50"/>
        <v>FC AugsburgBayer Leverkusen</v>
      </c>
      <c r="T63" s="2" t="str">
        <f t="shared" si="51"/>
        <v>0-3</v>
      </c>
      <c r="AJ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W63" s="7"/>
    </row>
    <row r="64" spans="1:49" x14ac:dyDescent="0.25">
      <c r="A64" s="1"/>
      <c r="B64" s="2">
        <f t="shared" si="3"/>
        <v>0</v>
      </c>
      <c r="D64" s="61">
        <f t="shared" si="48"/>
        <v>18</v>
      </c>
      <c r="F64" s="9" t="s">
        <v>148</v>
      </c>
      <c r="G64" s="10">
        <v>2</v>
      </c>
      <c r="H64" s="10">
        <v>3</v>
      </c>
      <c r="I64" s="9" t="s">
        <v>79</v>
      </c>
      <c r="J64" s="6"/>
      <c r="K64" s="61">
        <f t="shared" si="49"/>
        <v>2</v>
      </c>
      <c r="M64" s="2">
        <f t="shared" si="47"/>
        <v>3</v>
      </c>
      <c r="O64" s="2" t="str">
        <f t="shared" si="4"/>
        <v>P</v>
      </c>
      <c r="P64" s="2" t="str">
        <f t="shared" si="5"/>
        <v>G</v>
      </c>
      <c r="S64" s="2" t="str">
        <f t="shared" si="50"/>
        <v>SC Paderborn 07Bayern München</v>
      </c>
      <c r="T64" s="2" t="str">
        <f t="shared" si="51"/>
        <v>2-3</v>
      </c>
      <c r="W64" s="18">
        <v>3</v>
      </c>
      <c r="Y64" s="19"/>
      <c r="Z64" s="19" t="s">
        <v>1</v>
      </c>
      <c r="AA64" s="19" t="s">
        <v>2</v>
      </c>
      <c r="AB64" s="19" t="s">
        <v>3</v>
      </c>
      <c r="AC64" s="19" t="s">
        <v>4</v>
      </c>
      <c r="AD64" s="19" t="s">
        <v>5</v>
      </c>
      <c r="AE64" s="19" t="s">
        <v>6</v>
      </c>
      <c r="AF64" s="19" t="s">
        <v>7</v>
      </c>
      <c r="AG64" s="19" t="s">
        <v>8</v>
      </c>
      <c r="AH64" s="19" t="s">
        <v>9</v>
      </c>
      <c r="AI64" s="19" t="s">
        <v>0</v>
      </c>
      <c r="AJ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W64" s="7"/>
    </row>
    <row r="65" spans="1:49" x14ac:dyDescent="0.25">
      <c r="A65" s="1"/>
      <c r="B65" s="2">
        <f t="shared" si="3"/>
        <v>1</v>
      </c>
      <c r="D65" s="61">
        <f t="shared" si="48"/>
        <v>3</v>
      </c>
      <c r="F65" s="9" t="s">
        <v>80</v>
      </c>
      <c r="G65" s="10">
        <v>2</v>
      </c>
      <c r="H65" s="10">
        <v>2</v>
      </c>
      <c r="I65" s="9" t="s">
        <v>87</v>
      </c>
      <c r="J65" s="6"/>
      <c r="K65" s="61">
        <f t="shared" si="49"/>
        <v>10</v>
      </c>
      <c r="M65" s="2">
        <f t="shared" si="47"/>
        <v>1</v>
      </c>
      <c r="O65" s="2" t="str">
        <f t="shared" si="4"/>
        <v>N</v>
      </c>
      <c r="P65" s="2" t="str">
        <f t="shared" si="5"/>
        <v>N</v>
      </c>
      <c r="S65" s="2" t="str">
        <f t="shared" si="50"/>
        <v>Borussia DortmundWerder Bremen</v>
      </c>
      <c r="T65" s="2" t="str">
        <f t="shared" si="51"/>
        <v>2-2</v>
      </c>
      <c r="V65" s="2" t="str">
        <f>CONCATENATE(Z65)</f>
        <v>1. FC Köln</v>
      </c>
      <c r="W65" s="2">
        <f t="shared" ref="W65:W82" si="52">Y65</f>
        <v>14</v>
      </c>
      <c r="Y65" s="19">
        <f>RANK(AI65,$AI$65:$AI$82,0)+COUNTIF($AI$64:AI64,AI65)</f>
        <v>14</v>
      </c>
      <c r="Z65" s="19" t="str">
        <f t="shared" ref="Z65:Z82" si="53">CONCATENATE(Z5)</f>
        <v>1. FC Köln</v>
      </c>
      <c r="AA65" s="19">
        <f>COUNTIFS(F4:F34,Z65,G4:G34,"&gt;=0")+COUNTIFS(I4:I34,Z65,H4:H34,"&gt;=0")</f>
        <v>3</v>
      </c>
      <c r="AB65" s="19">
        <f>COUNTIFS(F4:F34,Z65,B4:B34,3)+COUNTIFS(I4:I34,Z65,M4:M34,3)</f>
        <v>1</v>
      </c>
      <c r="AC65" s="19">
        <f>COUNTIFS(F4:F34,Z65,B4:B34,1)+COUNTIFS(I4:I34,Z65,M4:M34,1)</f>
        <v>0</v>
      </c>
      <c r="AD65" s="19">
        <f>COUNTIFS(F4:F34,Z65,B4:B34,0)+COUNTIFS(I4:I34,Z65,M4:M34,0)</f>
        <v>2</v>
      </c>
      <c r="AE65" s="19">
        <f>SUMIF(F4:F34,Z65,G4:G34)+SUMIF(I4:I34,Z65,H4:H34)</f>
        <v>4</v>
      </c>
      <c r="AF65" s="19">
        <f>SUMIF(F4:F34,Z65,H4:H34)+SUMIF(I4:I34,Z65,G4:G34)</f>
        <v>6</v>
      </c>
      <c r="AG65" s="19">
        <f>+AE65-AF65</f>
        <v>-2</v>
      </c>
      <c r="AH65" s="19">
        <f>(AB65*3)+AC65</f>
        <v>3</v>
      </c>
      <c r="AI65" s="19">
        <f>SUM(AH65*1000+(AG65)/100+(AE65)/1000)</f>
        <v>2999.9839999999999</v>
      </c>
      <c r="AJ65" s="2"/>
      <c r="AM65" s="6"/>
      <c r="AN65" s="6"/>
      <c r="AO65" s="6"/>
      <c r="AW65" s="7"/>
    </row>
    <row r="66" spans="1:49" x14ac:dyDescent="0.25">
      <c r="A66" s="1"/>
      <c r="B66" s="2">
        <f t="shared" si="3"/>
        <v>0</v>
      </c>
      <c r="D66" s="61">
        <f t="shared" si="48"/>
        <v>13</v>
      </c>
      <c r="F66" s="9" t="s">
        <v>89</v>
      </c>
      <c r="G66" s="10">
        <v>1</v>
      </c>
      <c r="H66" s="10">
        <v>2</v>
      </c>
      <c r="I66" s="9" t="s">
        <v>91</v>
      </c>
      <c r="J66" s="6"/>
      <c r="K66" s="61">
        <f t="shared" si="49"/>
        <v>4</v>
      </c>
      <c r="M66" s="2">
        <f t="shared" si="47"/>
        <v>3</v>
      </c>
      <c r="O66" s="2" t="str">
        <f t="shared" si="4"/>
        <v>P</v>
      </c>
      <c r="P66" s="2" t="str">
        <f t="shared" si="5"/>
        <v>G</v>
      </c>
      <c r="S66" s="2" t="str">
        <f t="shared" si="50"/>
        <v>Fortuna DüsseldorfSC Freiburg</v>
      </c>
      <c r="T66" s="2" t="str">
        <f t="shared" si="51"/>
        <v>1-2</v>
      </c>
      <c r="V66" s="2" t="str">
        <f t="shared" ref="V66:V82" si="54">CONCATENATE(Z66)</f>
        <v>1. FC Union Berlin</v>
      </c>
      <c r="W66" s="2">
        <f t="shared" si="52"/>
        <v>11</v>
      </c>
      <c r="Y66" s="19">
        <f>RANK(AI66,$AI$65:$AI$82,0)+COUNTIF($AI$64:AI65,AI66)</f>
        <v>11</v>
      </c>
      <c r="Z66" s="19" t="str">
        <f t="shared" si="53"/>
        <v>1. FC Union Berlin</v>
      </c>
      <c r="AA66" s="19">
        <f>COUNTIFS(F4:F34,Z66,G4:G34,"&gt;=0")+COUNTIFS(I4:I34,Z66,H4:H34,"&gt;=0")</f>
        <v>3</v>
      </c>
      <c r="AB66" s="19">
        <f>COUNTIFS(F4:F34,Z66,B4:B34,3)+COUNTIFS(I4:I34,Z66,M4:M34,3)</f>
        <v>1</v>
      </c>
      <c r="AC66" s="19">
        <f>COUNTIFS(F4:F34,Z66,B4:B34,1)+COUNTIFS(I4:I34,Z66,M4:M34,1)</f>
        <v>1</v>
      </c>
      <c r="AD66" s="19">
        <f>COUNTIFS(F4:F34,Z66,B4:B34,0)+COUNTIFS(I4:I34,Z66,M4:M34,0)</f>
        <v>1</v>
      </c>
      <c r="AE66" s="19">
        <f>SUMIF(F4:F34,Z66,G4:G34)+SUMIF(I4:I34,Z66,H4:H34)</f>
        <v>4</v>
      </c>
      <c r="AF66" s="19">
        <f>SUMIF(F4:F34,Z66,H4:H34)+SUMIF(I4:I34,Z66,G4:G34)</f>
        <v>6</v>
      </c>
      <c r="AG66" s="19">
        <f>+AE66-AF66</f>
        <v>-2</v>
      </c>
      <c r="AH66" s="19">
        <f>(AB66*3)+AC66</f>
        <v>4</v>
      </c>
      <c r="AI66" s="19">
        <f t="shared" ref="AI66:AI82" si="55">SUM(AH66*1000+(AG66)/100+(AE66)/1000)</f>
        <v>3999.9839999999999</v>
      </c>
      <c r="AJ66" s="2"/>
      <c r="AM66" s="6"/>
      <c r="AN66" s="6"/>
      <c r="AO66" s="6"/>
      <c r="AW66" s="7"/>
    </row>
    <row r="67" spans="1:49" x14ac:dyDescent="0.25">
      <c r="A67" s="1"/>
      <c r="B67" s="2">
        <f t="shared" si="3"/>
        <v>0</v>
      </c>
      <c r="D67" s="61">
        <f t="shared" si="48"/>
        <v>16</v>
      </c>
      <c r="F67" s="9" t="s">
        <v>161</v>
      </c>
      <c r="G67" s="10">
        <v>0</v>
      </c>
      <c r="H67" s="10">
        <v>4</v>
      </c>
      <c r="I67" s="9" t="s">
        <v>88</v>
      </c>
      <c r="J67" s="6"/>
      <c r="K67" s="61">
        <f t="shared" si="49"/>
        <v>15</v>
      </c>
      <c r="M67" s="2">
        <f t="shared" si="47"/>
        <v>3</v>
      </c>
      <c r="O67" s="2" t="str">
        <f t="shared" si="4"/>
        <v>P</v>
      </c>
      <c r="P67" s="2" t="str">
        <f t="shared" si="5"/>
        <v>G</v>
      </c>
      <c r="S67" s="2" t="str">
        <f t="shared" si="50"/>
        <v>1. FC KölnHertha BSC</v>
      </c>
      <c r="T67" s="2" t="str">
        <f t="shared" si="51"/>
        <v>0-4</v>
      </c>
      <c r="V67" s="2" t="str">
        <f t="shared" si="54"/>
        <v>1. FSV Mainz 05</v>
      </c>
      <c r="W67" s="2">
        <f t="shared" si="52"/>
        <v>18</v>
      </c>
      <c r="Y67" s="19">
        <f>RANK(AI67,$AI$65:$AI$82,0)+COUNTIF($AI$64:AI66,AI67)</f>
        <v>18</v>
      </c>
      <c r="Z67" s="19" t="str">
        <f t="shared" si="53"/>
        <v>1. FSV Mainz 05</v>
      </c>
      <c r="AA67" s="19">
        <f>COUNTIFS(F4:F34,Z67,G4:G34,"&gt;=0")+COUNTIFS(I4:I34,Z67,H4:H34,"&gt;=0")</f>
        <v>3</v>
      </c>
      <c r="AB67" s="19">
        <f>COUNTIFS(F4:F34,Z67,B4:B34,3)+COUNTIFS(I4:I34,Z67,M4:M34,3)</f>
        <v>0</v>
      </c>
      <c r="AC67" s="19">
        <f>COUNTIFS(F4:F34,Z67,B4:B34,1)+COUNTIFS(I4:I34,Z67,M4:M34,1)</f>
        <v>0</v>
      </c>
      <c r="AD67" s="19">
        <f>COUNTIFS(F4:F34,Z67,B4:B34,0)+COUNTIFS(I4:I34,Z67,M4:M34,0)</f>
        <v>3</v>
      </c>
      <c r="AE67" s="19">
        <f>SUMIF(F4:F34,Z67,G4:G34)+SUMIF(I4:I34,Z67,H4:H34)</f>
        <v>2</v>
      </c>
      <c r="AF67" s="19">
        <f>SUMIF(F4:F34,Z67,H4:H34)+SUMIF(I4:I34,Z67,G4:G34)</f>
        <v>12</v>
      </c>
      <c r="AG67" s="19">
        <f>+AE67-AF67</f>
        <v>-10</v>
      </c>
      <c r="AH67" s="19">
        <f>(AB67*3)+AC67</f>
        <v>0</v>
      </c>
      <c r="AI67" s="19">
        <f t="shared" si="55"/>
        <v>-9.8000000000000004E-2</v>
      </c>
      <c r="AJ67" s="2"/>
      <c r="AM67" s="6"/>
      <c r="AN67" s="6"/>
      <c r="AO67" s="6"/>
      <c r="AW67" s="7"/>
    </row>
    <row r="68" spans="1:49" x14ac:dyDescent="0.25">
      <c r="A68" s="1"/>
      <c r="F68" s="107"/>
      <c r="G68" s="108"/>
      <c r="H68" s="108"/>
      <c r="I68" s="107"/>
      <c r="J68" s="6"/>
      <c r="O68" s="2" t="str">
        <f t="shared" si="4"/>
        <v/>
      </c>
      <c r="P68" s="2" t="str">
        <f t="shared" si="5"/>
        <v/>
      </c>
      <c r="V68" s="2" t="str">
        <f t="shared" si="54"/>
        <v>1899 Hoffenheim</v>
      </c>
      <c r="W68" s="2">
        <f t="shared" si="52"/>
        <v>9</v>
      </c>
      <c r="Y68" s="19">
        <f>RANK(AI68,$AI$65:$AI$82,0)+COUNTIF($AI$64:AI67,AI68)</f>
        <v>9</v>
      </c>
      <c r="Z68" s="19" t="str">
        <f t="shared" si="53"/>
        <v>1899 Hoffenheim</v>
      </c>
      <c r="AA68" s="19">
        <f>COUNTIFS(F4:F34,Z68,G4:G34,"&gt;=0")+COUNTIFS(I4:I34,Z68,H4:H34,"&gt;=0")</f>
        <v>3</v>
      </c>
      <c r="AB68" s="19">
        <f>COUNTIFS(F4:F34,Z68,B4:B34,3)+COUNTIFS(I4:I34,Z68,M4:M34,3)</f>
        <v>1</v>
      </c>
      <c r="AC68" s="19">
        <f>COUNTIFS(F4:F34,Z68,B4:B34,1)+COUNTIFS(I4:I34,Z68,M4:M34,1)</f>
        <v>1</v>
      </c>
      <c r="AD68" s="19">
        <f>COUNTIFS(F4:F34,Z68,B4:B34,0)+COUNTIFS(I4:I34,Z68,M4:M34,0)</f>
        <v>1</v>
      </c>
      <c r="AE68" s="19">
        <f>SUMIF(F4:F34,Z68,G4:G34)+SUMIF(I4:I34,Z68,H4:H34)</f>
        <v>3</v>
      </c>
      <c r="AF68" s="19">
        <f>SUMIF(F4:F34,Z68,H4:H34)+SUMIF(I4:I34,Z68,G4:G34)</f>
        <v>3</v>
      </c>
      <c r="AG68" s="19">
        <f t="shared" ref="AG68:AG82" si="56">+AE68-AF68</f>
        <v>0</v>
      </c>
      <c r="AH68" s="19">
        <f>(AB68*3)+AC68</f>
        <v>4</v>
      </c>
      <c r="AI68" s="19">
        <f t="shared" si="55"/>
        <v>4000.0030000000002</v>
      </c>
      <c r="AJ68" s="2"/>
      <c r="AM68" s="6"/>
      <c r="AN68" s="6"/>
      <c r="AO68" s="6"/>
      <c r="AW68" s="7"/>
    </row>
    <row r="69" spans="1:49" x14ac:dyDescent="0.25">
      <c r="A69" s="1"/>
      <c r="B69" s="2" t="str">
        <f t="shared" ref="B69:B131" si="57">IF(G69="","",IF(G69&gt;H69,3,IF(G69=H69,1,0)))</f>
        <v/>
      </c>
      <c r="F69" s="154" t="s">
        <v>155</v>
      </c>
      <c r="G69" s="154"/>
      <c r="H69" s="154"/>
      <c r="I69" s="154"/>
      <c r="J69" s="6"/>
      <c r="M69" s="2" t="str">
        <f t="shared" ref="M69:M78" si="58">IF(H69="","",IF(H69&gt;G69,3,IF(H69=G69,1,0)))</f>
        <v/>
      </c>
      <c r="O69" s="2" t="str">
        <f t="shared" ref="O69:O132" si="59">IF(B69="","",IF(B69=1,"N",IF(B69=0,"P",IF(B69=3,"G"))))</f>
        <v/>
      </c>
      <c r="P69" s="2" t="str">
        <f t="shared" ref="P69:P132" si="60">IF(M69="","",IF(M69=1,"N",IF(M69=0,"P",IF(M69=3,"G"))))</f>
        <v/>
      </c>
      <c r="V69" s="2" t="str">
        <f t="shared" si="54"/>
        <v>Bayer Leverkusen</v>
      </c>
      <c r="W69" s="2">
        <f t="shared" si="52"/>
        <v>4</v>
      </c>
      <c r="Y69" s="19">
        <f>RANK(AI69,$AI$65:$AI$82,0)+COUNTIF($AI$64:AI68,AI69)</f>
        <v>4</v>
      </c>
      <c r="Z69" s="19" t="str">
        <f t="shared" si="53"/>
        <v>Bayer Leverkusen</v>
      </c>
      <c r="AA69" s="19">
        <f>COUNTIFS(F4:F34,Z69,G4:G34,"&gt;=0")+COUNTIFS(I4:I34,Z69,H4:H34,"&gt;=0")</f>
        <v>3</v>
      </c>
      <c r="AB69" s="19">
        <f>COUNTIFS(F4:F34,Z69,B4:B34,3)+COUNTIFS(I4:I34,Z69,M4:M34,3)</f>
        <v>2</v>
      </c>
      <c r="AC69" s="19">
        <f>COUNTIFS(F4:F34,Z69,B4:B34,1)+COUNTIFS(I4:I34,Z69,M4:M34,1)</f>
        <v>1</v>
      </c>
      <c r="AD69" s="19">
        <f>COUNTIFS(F4:F34,Z69,B4:B34,0)+COUNTIFS(I4:I34,Z69,M4:M34,0)</f>
        <v>0</v>
      </c>
      <c r="AE69" s="19">
        <f>SUMIF(F4:F34,Z69,G4:G34)+SUMIF(I4:I34,Z69,H4:H34)</f>
        <v>6</v>
      </c>
      <c r="AF69" s="19">
        <f>SUMIF(F4:F34,Z69,H4:H34)+SUMIF(I4:I34,Z69,G4:G34)</f>
        <v>3</v>
      </c>
      <c r="AG69" s="19">
        <f t="shared" si="56"/>
        <v>3</v>
      </c>
      <c r="AH69" s="19">
        <f>(AB69*3)+AC69</f>
        <v>7</v>
      </c>
      <c r="AI69" s="19">
        <f t="shared" si="55"/>
        <v>7000.0360000000001</v>
      </c>
      <c r="AM69" s="6"/>
      <c r="AN69" s="6"/>
      <c r="AO69" s="6"/>
      <c r="AW69" s="7"/>
    </row>
    <row r="70" spans="1:49" x14ac:dyDescent="0.25">
      <c r="A70" s="1"/>
      <c r="B70" s="2">
        <f t="shared" si="57"/>
        <v>0</v>
      </c>
      <c r="D70" s="61">
        <f t="shared" ref="D70:D78" si="61">IFERROR(VLOOKUP(F70,$V$125:$W$142,2,FALSE),"")</f>
        <v>1</v>
      </c>
      <c r="F70" s="9" t="s">
        <v>79</v>
      </c>
      <c r="G70" s="10">
        <v>1</v>
      </c>
      <c r="H70" s="10">
        <v>2</v>
      </c>
      <c r="I70" s="9" t="s">
        <v>86</v>
      </c>
      <c r="J70" s="6"/>
      <c r="K70" s="61">
        <f t="shared" ref="K70:K78" si="62">IFERROR(VLOOKUP(I70,$V$125:$W$142,2,FALSE),"")</f>
        <v>12</v>
      </c>
      <c r="M70" s="2">
        <f t="shared" si="58"/>
        <v>3</v>
      </c>
      <c r="O70" s="2" t="str">
        <f t="shared" si="59"/>
        <v>P</v>
      </c>
      <c r="P70" s="2" t="str">
        <f t="shared" si="60"/>
        <v>G</v>
      </c>
      <c r="S70" s="2" t="str">
        <f t="shared" ref="S70:S78" si="63">IF(M70&lt;&gt;"",F70&amp;I70,"")</f>
        <v>Bayern München1899 Hoffenheim</v>
      </c>
      <c r="T70" s="2" t="str">
        <f t="shared" ref="T70:T78" si="64">IF(S70&lt;&gt;"",G70&amp;"-"&amp;H70,"")</f>
        <v>1-2</v>
      </c>
      <c r="V70" s="2" t="str">
        <f t="shared" si="54"/>
        <v>Bayern München</v>
      </c>
      <c r="W70" s="2">
        <f t="shared" si="52"/>
        <v>2</v>
      </c>
      <c r="Y70" s="19">
        <f>RANK(AI70,$AI$65:$AI$82,0)+COUNTIF($AI$64:AI69,AI70)</f>
        <v>2</v>
      </c>
      <c r="Z70" s="19" t="str">
        <f t="shared" si="53"/>
        <v>Bayern München</v>
      </c>
      <c r="AA70" s="19">
        <f>COUNTIFS(F4:F34,Z70,G4:G34,"&gt;=0")+COUNTIFS(I4:I34,Z70,H4:H34,"&gt;=0")</f>
        <v>3</v>
      </c>
      <c r="AB70" s="19">
        <f>COUNTIFS(F4:F34,Z70,B4:B34,3)+COUNTIFS(I4:I34,Z70,M4:M34,3)</f>
        <v>2</v>
      </c>
      <c r="AC70" s="19">
        <f>COUNTIFS(F4:F34,Z70,B4:B34,1)+COUNTIFS(I4:I34,Z70,M4:M34,1)</f>
        <v>1</v>
      </c>
      <c r="AD70" s="19">
        <f>COUNTIFS(F4:F34,Z70,B4:B34,0)+COUNTIFS(I4:I34,Z70,M4:M34,0)</f>
        <v>0</v>
      </c>
      <c r="AE70" s="19">
        <f>SUMIF(F4:F34,Z70,G4:G34)+SUMIF(I4:I34,Z70,H4:H34)</f>
        <v>11</v>
      </c>
      <c r="AF70" s="19">
        <f>SUMIF(F4:F34,Z70,H4:H34)+SUMIF(I4:I34,Z70,G4:G34)</f>
        <v>3</v>
      </c>
      <c r="AG70" s="19">
        <f t="shared" si="56"/>
        <v>8</v>
      </c>
      <c r="AH70" s="19">
        <f t="shared" ref="AH70:AH82" si="65">(AB70*3)+AC70</f>
        <v>7</v>
      </c>
      <c r="AI70" s="19">
        <f t="shared" si="55"/>
        <v>7000.0910000000003</v>
      </c>
      <c r="AJ70" s="2"/>
      <c r="AW70" s="7"/>
    </row>
    <row r="71" spans="1:49" x14ac:dyDescent="0.25">
      <c r="A71" s="1"/>
      <c r="B71" s="2">
        <f t="shared" si="57"/>
        <v>1</v>
      </c>
      <c r="D71" s="61">
        <f t="shared" si="61"/>
        <v>6</v>
      </c>
      <c r="F71" s="9" t="s">
        <v>83</v>
      </c>
      <c r="G71" s="10">
        <v>1</v>
      </c>
      <c r="H71" s="10">
        <v>1</v>
      </c>
      <c r="I71" s="9" t="s">
        <v>81</v>
      </c>
      <c r="J71" s="6"/>
      <c r="K71" s="61">
        <f t="shared" si="62"/>
        <v>2</v>
      </c>
      <c r="M71" s="2">
        <f t="shared" si="58"/>
        <v>1</v>
      </c>
      <c r="O71" s="2" t="str">
        <f t="shared" si="59"/>
        <v>N</v>
      </c>
      <c r="P71" s="2" t="str">
        <f t="shared" si="60"/>
        <v>N</v>
      </c>
      <c r="S71" s="2" t="str">
        <f t="shared" si="63"/>
        <v>Bayer LeverkusenRB Leipzig</v>
      </c>
      <c r="T71" s="2" t="str">
        <f t="shared" si="64"/>
        <v>1-1</v>
      </c>
      <c r="V71" s="2" t="str">
        <f t="shared" si="54"/>
        <v>Bor. Mönchengladbach</v>
      </c>
      <c r="W71" s="2">
        <f t="shared" si="52"/>
        <v>8</v>
      </c>
      <c r="Y71" s="19">
        <f>RANK(AI71,$AI$65:$AI$82,0)+COUNTIF($AI$64:AI70,AI71)</f>
        <v>8</v>
      </c>
      <c r="Z71" s="19" t="str">
        <f t="shared" si="53"/>
        <v>Bor. Mönchengladbach</v>
      </c>
      <c r="AA71" s="19">
        <f>COUNTIFS(F4:F34,Z71,G4:G34,"&gt;=0")+COUNTIFS(I4:I34,Z71,H4:H34,"&gt;=0")</f>
        <v>3</v>
      </c>
      <c r="AB71" s="19">
        <f>COUNTIFS(F4:F34,Z71,B4:B34,3)+COUNTIFS(I4:I34,Z71,M4:M34,3)</f>
        <v>1</v>
      </c>
      <c r="AC71" s="19">
        <f>COUNTIFS(F4:F34,Z71,B4:B34,1)+COUNTIFS(I4:I34,Z71,M4:M34,1)</f>
        <v>1</v>
      </c>
      <c r="AD71" s="19">
        <f>COUNTIFS(F4:F34,Z71,B4:B34,0)+COUNTIFS(I4:I34,Z71,M4:M34,0)</f>
        <v>1</v>
      </c>
      <c r="AE71" s="19">
        <f>SUMIF(F4:F34,Z71,G4:G34)+SUMIF(I4:I34,Z71,H4:H34)</f>
        <v>4</v>
      </c>
      <c r="AF71" s="19">
        <f>SUMIF(F4:F34,Z71,H4:H34)+SUMIF(I4:I34,Z71,G4:G34)</f>
        <v>4</v>
      </c>
      <c r="AG71" s="19">
        <f t="shared" si="56"/>
        <v>0</v>
      </c>
      <c r="AH71" s="19">
        <f t="shared" si="65"/>
        <v>4</v>
      </c>
      <c r="AI71" s="19">
        <f t="shared" si="55"/>
        <v>4000.0039999999999</v>
      </c>
      <c r="AJ71" s="2"/>
      <c r="AW71" s="7"/>
    </row>
    <row r="72" spans="1:49" x14ac:dyDescent="0.25">
      <c r="A72" s="1"/>
      <c r="B72" s="2">
        <f t="shared" si="57"/>
        <v>3</v>
      </c>
      <c r="D72" s="61">
        <f t="shared" si="61"/>
        <v>5</v>
      </c>
      <c r="F72" s="9" t="s">
        <v>82</v>
      </c>
      <c r="G72" s="10">
        <v>5</v>
      </c>
      <c r="H72" s="10">
        <v>1</v>
      </c>
      <c r="I72" s="9" t="s">
        <v>92</v>
      </c>
      <c r="J72" s="6"/>
      <c r="K72" s="61">
        <f t="shared" si="62"/>
        <v>13</v>
      </c>
      <c r="M72" s="2">
        <f t="shared" si="58"/>
        <v>0</v>
      </c>
      <c r="O72" s="2" t="str">
        <f t="shared" si="59"/>
        <v>G</v>
      </c>
      <c r="P72" s="2" t="str">
        <f t="shared" si="60"/>
        <v>P</v>
      </c>
      <c r="S72" s="2" t="str">
        <f t="shared" si="63"/>
        <v>Bor. MönchengladbachFC Augsburg</v>
      </c>
      <c r="T72" s="2" t="str">
        <f t="shared" si="64"/>
        <v>5-1</v>
      </c>
      <c r="V72" s="2" t="str">
        <f t="shared" si="54"/>
        <v>Borussia Dortmund</v>
      </c>
      <c r="W72" s="2">
        <f t="shared" si="52"/>
        <v>5</v>
      </c>
      <c r="Y72" s="19">
        <f>RANK(AI72,$AI$65:$AI$82,0)+COUNTIF($AI$64:AI71,AI72)</f>
        <v>5</v>
      </c>
      <c r="Z72" s="19" t="str">
        <f t="shared" si="53"/>
        <v>Borussia Dortmund</v>
      </c>
      <c r="AA72" s="19">
        <f>COUNTIFS(F4:F34,Z72,G4:G34,"&gt;=0")+COUNTIFS(I4:I34,Z72,H4:H34,"&gt;=0")</f>
        <v>3</v>
      </c>
      <c r="AB72" s="19">
        <f>COUNTIFS(F4:F34,Z72,B4:B34,3)+COUNTIFS(I4:I34,Z72,M4:M34,3)</f>
        <v>2</v>
      </c>
      <c r="AC72" s="19">
        <f>COUNTIFS(F4:F34,Z72,B4:B34,1)+COUNTIFS(I4:I34,Z72,M4:M34,1)</f>
        <v>0</v>
      </c>
      <c r="AD72" s="19">
        <f>COUNTIFS(F4:F34,Z72,B4:B34,0)+COUNTIFS(I4:I34,Z72,M4:M34,0)</f>
        <v>1</v>
      </c>
      <c r="AE72" s="19">
        <f>SUMIF(F4:F34,Z72,G4:G34)+SUMIF(I4:I34,Z72,H4:H34)</f>
        <v>9</v>
      </c>
      <c r="AF72" s="19">
        <f>SUMIF(F4:F34,Z72,H4:H34)+SUMIF(I4:I34,Z72,G4:G34)</f>
        <v>5</v>
      </c>
      <c r="AG72" s="19">
        <f t="shared" si="56"/>
        <v>4</v>
      </c>
      <c r="AH72" s="19">
        <f t="shared" si="65"/>
        <v>6</v>
      </c>
      <c r="AI72" s="19">
        <f t="shared" si="55"/>
        <v>6000.049</v>
      </c>
      <c r="AJ72" s="2"/>
      <c r="AW72" s="7"/>
    </row>
    <row r="73" spans="1:49" x14ac:dyDescent="0.25">
      <c r="A73" s="1"/>
      <c r="B73" s="2">
        <f t="shared" si="57"/>
        <v>3</v>
      </c>
      <c r="D73" s="61">
        <f t="shared" si="61"/>
        <v>7</v>
      </c>
      <c r="F73" s="9" t="s">
        <v>85</v>
      </c>
      <c r="G73" s="10">
        <v>1</v>
      </c>
      <c r="H73" s="10">
        <v>0</v>
      </c>
      <c r="I73" s="9" t="s">
        <v>162</v>
      </c>
      <c r="J73" s="6"/>
      <c r="K73" s="61">
        <f t="shared" si="62"/>
        <v>15</v>
      </c>
      <c r="M73" s="2">
        <f t="shared" si="58"/>
        <v>0</v>
      </c>
      <c r="O73" s="2" t="str">
        <f t="shared" si="59"/>
        <v>G</v>
      </c>
      <c r="P73" s="2" t="str">
        <f t="shared" si="60"/>
        <v>P</v>
      </c>
      <c r="S73" s="2" t="str">
        <f t="shared" si="63"/>
        <v>VfL Wolfsburg1. FC Union Berlin</v>
      </c>
      <c r="T73" s="2" t="str">
        <f t="shared" si="64"/>
        <v>1-0</v>
      </c>
      <c r="V73" s="2" t="str">
        <f t="shared" si="54"/>
        <v>Eintracht Frankfurt</v>
      </c>
      <c r="W73" s="2">
        <f t="shared" si="52"/>
        <v>7</v>
      </c>
      <c r="Y73" s="19">
        <f>RANK(AI73,$AI$65:$AI$82,0)+COUNTIF($AI$64:AI72,AI73)</f>
        <v>7</v>
      </c>
      <c r="Z73" s="19" t="str">
        <f t="shared" si="53"/>
        <v>Eintracht Frankfurt</v>
      </c>
      <c r="AA73" s="19">
        <f>COUNTIFS(F4:F34,Z73,G4:G34,"&gt;=0")+COUNTIFS(I4:I34,Z73,H4:H34,"&gt;=0")</f>
        <v>3</v>
      </c>
      <c r="AB73" s="19">
        <f>COUNTIFS(F4:F34,Z73,B4:B34,3)+COUNTIFS(I4:I34,Z73,M4:M34,3)</f>
        <v>2</v>
      </c>
      <c r="AC73" s="19">
        <f>COUNTIFS(F4:F34,Z73,B4:B34,1)+COUNTIFS(I4:I34,Z73,M4:M34,1)</f>
        <v>0</v>
      </c>
      <c r="AD73" s="19">
        <f>COUNTIFS(F4:F34,Z73,B4:B34,0)+COUNTIFS(I4:I34,Z73,M4:M34,0)</f>
        <v>1</v>
      </c>
      <c r="AE73" s="19">
        <f>SUMIF(F4:F34,Z73,G4:G34)+SUMIF(I4:I34,Z73,H4:H34)</f>
        <v>4</v>
      </c>
      <c r="AF73" s="19">
        <f>SUMIF(F4:F34,Z73,H4:H34)+SUMIF(I4:I34,Z73,G4:G34)</f>
        <v>3</v>
      </c>
      <c r="AG73" s="19">
        <f t="shared" si="56"/>
        <v>1</v>
      </c>
      <c r="AH73" s="19">
        <f t="shared" si="65"/>
        <v>6</v>
      </c>
      <c r="AI73" s="19">
        <f t="shared" si="55"/>
        <v>6000.0140000000001</v>
      </c>
      <c r="AJ73" s="2"/>
      <c r="AW73" s="7"/>
    </row>
    <row r="74" spans="1:49" x14ac:dyDescent="0.25">
      <c r="A74" s="1"/>
      <c r="B74" s="2">
        <f t="shared" si="57"/>
        <v>1</v>
      </c>
      <c r="D74" s="61">
        <f t="shared" si="61"/>
        <v>9</v>
      </c>
      <c r="F74" s="9" t="s">
        <v>84</v>
      </c>
      <c r="G74" s="10">
        <v>2</v>
      </c>
      <c r="H74" s="10">
        <v>2</v>
      </c>
      <c r="I74" s="9" t="s">
        <v>87</v>
      </c>
      <c r="J74" s="6"/>
      <c r="K74" s="61">
        <f t="shared" si="62"/>
        <v>11</v>
      </c>
      <c r="M74" s="2">
        <f t="shared" si="58"/>
        <v>1</v>
      </c>
      <c r="O74" s="2" t="str">
        <f t="shared" si="59"/>
        <v>N</v>
      </c>
      <c r="P74" s="2" t="str">
        <f t="shared" si="60"/>
        <v>N</v>
      </c>
      <c r="S74" s="2" t="str">
        <f t="shared" si="63"/>
        <v>Eintracht FrankfurtWerder Bremen</v>
      </c>
      <c r="T74" s="2" t="str">
        <f t="shared" si="64"/>
        <v>2-2</v>
      </c>
      <c r="V74" s="2" t="str">
        <f t="shared" si="54"/>
        <v>FC Augsburg</v>
      </c>
      <c r="W74" s="2">
        <f t="shared" si="52"/>
        <v>16</v>
      </c>
      <c r="Y74" s="19">
        <f>RANK(AI74,$AI$65:$AI$82,0)+COUNTIF($AI$64:AI73,AI74)</f>
        <v>16</v>
      </c>
      <c r="Z74" s="19" t="str">
        <f t="shared" si="53"/>
        <v>FC Augsburg</v>
      </c>
      <c r="AA74" s="19">
        <f>COUNTIFS(F4:F34,Z74,G4:G34,"&gt;=0")+COUNTIFS(I4:I34,Z74,H4:H34,"&gt;=0")</f>
        <v>3</v>
      </c>
      <c r="AB74" s="19">
        <f>COUNTIFS(F4:F34,Z74,B4:B34,3)+COUNTIFS(I4:I34,Z74,M4:M34,3)</f>
        <v>0</v>
      </c>
      <c r="AC74" s="19">
        <f>COUNTIFS(F4:F34,Z74,B4:B34,1)+COUNTIFS(I4:I34,Z74,M4:M34,1)</f>
        <v>1</v>
      </c>
      <c r="AD74" s="19">
        <f>COUNTIFS(F4:F34,Z74,B4:B34,0)+COUNTIFS(I4:I34,Z74,M4:M34,0)</f>
        <v>2</v>
      </c>
      <c r="AE74" s="19">
        <f>SUMIF(F4:F34,Z74,G4:G34)+SUMIF(I4:I34,Z74,H4:H34)</f>
        <v>4</v>
      </c>
      <c r="AF74" s="19">
        <f>SUMIF(F4:F34,Z74,H4:H34)+SUMIF(I4:I34,Z74,G4:G34)</f>
        <v>9</v>
      </c>
      <c r="AG74" s="19">
        <f t="shared" si="56"/>
        <v>-5</v>
      </c>
      <c r="AH74" s="19">
        <f t="shared" si="65"/>
        <v>1</v>
      </c>
      <c r="AI74" s="19">
        <f t="shared" si="55"/>
        <v>999.95400000000006</v>
      </c>
      <c r="AJ74" s="2"/>
      <c r="AW74" s="7"/>
    </row>
    <row r="75" spans="1:49" x14ac:dyDescent="0.25">
      <c r="A75" s="1"/>
      <c r="B75" s="2">
        <f t="shared" si="57"/>
        <v>3</v>
      </c>
      <c r="D75" s="61">
        <f t="shared" si="61"/>
        <v>10</v>
      </c>
      <c r="F75" s="9" t="s">
        <v>88</v>
      </c>
      <c r="G75" s="10">
        <v>3</v>
      </c>
      <c r="H75" s="10">
        <v>1</v>
      </c>
      <c r="I75" s="9" t="s">
        <v>89</v>
      </c>
      <c r="J75" s="6"/>
      <c r="K75" s="61">
        <f t="shared" si="62"/>
        <v>14</v>
      </c>
      <c r="M75" s="2">
        <f t="shared" si="58"/>
        <v>0</v>
      </c>
      <c r="O75" s="2" t="str">
        <f t="shared" si="59"/>
        <v>G</v>
      </c>
      <c r="P75" s="2" t="str">
        <f t="shared" si="60"/>
        <v>P</v>
      </c>
      <c r="S75" s="2" t="str">
        <f t="shared" si="63"/>
        <v>Hertha BSCFortuna Düsseldorf</v>
      </c>
      <c r="T75" s="2" t="str">
        <f t="shared" si="64"/>
        <v>3-1</v>
      </c>
      <c r="V75" s="2" t="str">
        <f t="shared" si="54"/>
        <v>FC Schalke 04</v>
      </c>
      <c r="W75" s="2">
        <f t="shared" si="52"/>
        <v>10</v>
      </c>
      <c r="Y75" s="19">
        <f>RANK(AI75,$AI$65:$AI$82,0)+COUNTIF($AI$64:AI74,AI75)</f>
        <v>10</v>
      </c>
      <c r="Z75" s="19" t="str">
        <f t="shared" si="53"/>
        <v>FC Schalke 04</v>
      </c>
      <c r="AA75" s="19">
        <f>COUNTIFS(F4:F34,Z75,G4:G34,"&gt;=0")+COUNTIFS(I4:I34,Z75,H4:H34,"&gt;=0")</f>
        <v>3</v>
      </c>
      <c r="AB75" s="19">
        <f>COUNTIFS(F4:F34,Z75,B4:B34,3)+COUNTIFS(I4:I34,Z75,M4:M34,3)</f>
        <v>1</v>
      </c>
      <c r="AC75" s="19">
        <f>COUNTIFS(F4:F34,Z75,B4:B34,1)+COUNTIFS(I4:I34,Z75,M4:M34,1)</f>
        <v>1</v>
      </c>
      <c r="AD75" s="19">
        <f>COUNTIFS(F4:F34,Z75,B4:B34,0)+COUNTIFS(I4:I34,Z75,M4:M34,0)</f>
        <v>1</v>
      </c>
      <c r="AE75" s="19">
        <f>SUMIF(F4:F34,Z75,G4:G34)+SUMIF(I4:I34,Z75,H4:H34)</f>
        <v>3</v>
      </c>
      <c r="AF75" s="19">
        <f>SUMIF(F4:F34,Z75,H4:H34)+SUMIF(I4:I34,Z75,G4:G34)</f>
        <v>3</v>
      </c>
      <c r="AG75" s="19">
        <f t="shared" si="56"/>
        <v>0</v>
      </c>
      <c r="AH75" s="19">
        <f t="shared" si="65"/>
        <v>4</v>
      </c>
      <c r="AI75" s="19">
        <f t="shared" si="55"/>
        <v>4000.0030000000002</v>
      </c>
      <c r="AJ75" s="2"/>
      <c r="AW75" s="7"/>
    </row>
    <row r="76" spans="1:49" x14ac:dyDescent="0.25">
      <c r="A76" s="1"/>
      <c r="B76" s="2">
        <f t="shared" si="57"/>
        <v>1</v>
      </c>
      <c r="D76" s="61">
        <f t="shared" si="61"/>
        <v>3</v>
      </c>
      <c r="F76" s="9" t="s">
        <v>91</v>
      </c>
      <c r="G76" s="10">
        <v>2</v>
      </c>
      <c r="H76" s="10">
        <v>2</v>
      </c>
      <c r="I76" s="9" t="s">
        <v>80</v>
      </c>
      <c r="J76" s="6"/>
      <c r="K76" s="61">
        <f t="shared" si="62"/>
        <v>8</v>
      </c>
      <c r="M76" s="2">
        <f t="shared" si="58"/>
        <v>1</v>
      </c>
      <c r="O76" s="2" t="str">
        <f t="shared" si="59"/>
        <v>N</v>
      </c>
      <c r="P76" s="2" t="str">
        <f t="shared" si="60"/>
        <v>N</v>
      </c>
      <c r="S76" s="2" t="str">
        <f t="shared" si="63"/>
        <v>SC FreiburgBorussia Dortmund</v>
      </c>
      <c r="T76" s="2" t="str">
        <f t="shared" si="64"/>
        <v>2-2</v>
      </c>
      <c r="V76" s="2" t="str">
        <f t="shared" si="54"/>
        <v>Fortuna Düsseldorf</v>
      </c>
      <c r="W76" s="2">
        <f t="shared" si="52"/>
        <v>12</v>
      </c>
      <c r="Y76" s="19">
        <f>RANK(AI76,$AI$65:$AI$82,0)+COUNTIF($AI$64:AI75,AI76)</f>
        <v>12</v>
      </c>
      <c r="Z76" s="19" t="str">
        <f t="shared" si="53"/>
        <v>Fortuna Düsseldorf</v>
      </c>
      <c r="AA76" s="19">
        <f>COUNTIFS(F4:F34,Z76,G4:G34,"&gt;=0")+COUNTIFS(I4:I34,Z76,H4:H34,"&gt;=0")</f>
        <v>3</v>
      </c>
      <c r="AB76" s="19">
        <f>COUNTIFS(F4:F34,Z76,B4:B34,3)+COUNTIFS(I4:I34,Z76,M4:M34,3)</f>
        <v>1</v>
      </c>
      <c r="AC76" s="19">
        <f>COUNTIFS(F4:F34,Z76,B4:B34,1)+COUNTIFS(I4:I34,Z76,M4:M34,1)</f>
        <v>0</v>
      </c>
      <c r="AD76" s="19">
        <f>COUNTIFS(F4:F34,Z76,B4:B34,0)+COUNTIFS(I4:I34,Z76,M4:M34,0)</f>
        <v>2</v>
      </c>
      <c r="AE76" s="19">
        <f>SUMIF(F4:F34,Z76,G4:G34)+SUMIF(I4:I34,Z76,H4:H34)</f>
        <v>5</v>
      </c>
      <c r="AF76" s="19">
        <f>SUMIF(F4:F34,Z76,H4:H34)+SUMIF(I4:I34,Z76,G4:G34)</f>
        <v>6</v>
      </c>
      <c r="AG76" s="19">
        <f t="shared" si="56"/>
        <v>-1</v>
      </c>
      <c r="AH76" s="19">
        <f t="shared" si="65"/>
        <v>3</v>
      </c>
      <c r="AI76" s="19">
        <f t="shared" si="55"/>
        <v>2999.9949999999999</v>
      </c>
      <c r="AJ76" s="2"/>
      <c r="AW76" s="7"/>
    </row>
    <row r="77" spans="1:49" x14ac:dyDescent="0.25">
      <c r="A77" s="1"/>
      <c r="B77" s="2">
        <f t="shared" si="57"/>
        <v>1</v>
      </c>
      <c r="D77" s="61">
        <f t="shared" si="61"/>
        <v>4</v>
      </c>
      <c r="F77" s="9" t="s">
        <v>93</v>
      </c>
      <c r="G77" s="10">
        <v>1</v>
      </c>
      <c r="H77" s="10">
        <v>1</v>
      </c>
      <c r="I77" s="9" t="s">
        <v>161</v>
      </c>
      <c r="J77" s="6"/>
      <c r="K77" s="61">
        <f t="shared" si="62"/>
        <v>17</v>
      </c>
      <c r="M77" s="2">
        <f t="shared" si="58"/>
        <v>1</v>
      </c>
      <c r="O77" s="2" t="str">
        <f t="shared" si="59"/>
        <v>N</v>
      </c>
      <c r="P77" s="2" t="str">
        <f t="shared" si="60"/>
        <v>N</v>
      </c>
      <c r="S77" s="2" t="str">
        <f t="shared" si="63"/>
        <v>FC Schalke 041. FC Köln</v>
      </c>
      <c r="T77" s="2" t="str">
        <f t="shared" si="64"/>
        <v>1-1</v>
      </c>
      <c r="V77" s="2" t="str">
        <f t="shared" si="54"/>
        <v>Hertha BSC</v>
      </c>
      <c r="W77" s="2">
        <f t="shared" si="52"/>
        <v>17</v>
      </c>
      <c r="Y77" s="19">
        <f>RANK(AI77,$AI$65:$AI$82,0)+COUNTIF($AI$64:AI76,AI77)</f>
        <v>17</v>
      </c>
      <c r="Z77" s="19" t="str">
        <f t="shared" si="53"/>
        <v>Hertha BSC</v>
      </c>
      <c r="AA77" s="19">
        <f>COUNTIFS(F4:F34,Z77,G4:G34,"&gt;=0")+COUNTIFS(I4:I34,Z77,H4:H34,"&gt;=0")</f>
        <v>3</v>
      </c>
      <c r="AB77" s="19">
        <f>COUNTIFS(F4:F34,Z77,B4:B34,3)+COUNTIFS(I4:I34,Z77,M4:M34,3)</f>
        <v>0</v>
      </c>
      <c r="AC77" s="19">
        <f>COUNTIFS(F4:F34,Z77,B4:B34,1)+COUNTIFS(I4:I34,Z77,M4:M34,1)</f>
        <v>1</v>
      </c>
      <c r="AD77" s="19">
        <f>COUNTIFS(F4:F34,Z77,B4:B34,0)+COUNTIFS(I4:I34,Z77,M4:M34,0)</f>
        <v>2</v>
      </c>
      <c r="AE77" s="19">
        <f>SUMIF(F4:F34,Z77,G4:G34)+SUMIF(I4:I34,Z77,H4:H34)</f>
        <v>2</v>
      </c>
      <c r="AF77" s="19">
        <f>SUMIF(F4:F34,Z77,H4:H34)+SUMIF(I4:I34,Z77,G4:G34)</f>
        <v>8</v>
      </c>
      <c r="AG77" s="19">
        <f t="shared" si="56"/>
        <v>-6</v>
      </c>
      <c r="AH77" s="19">
        <f t="shared" si="65"/>
        <v>1</v>
      </c>
      <c r="AI77" s="19">
        <f t="shared" si="55"/>
        <v>999.94200000000001</v>
      </c>
      <c r="AJ77" s="2"/>
      <c r="AW77" s="7"/>
    </row>
    <row r="78" spans="1:49" x14ac:dyDescent="0.25">
      <c r="A78" s="1"/>
      <c r="B78" s="2">
        <f t="shared" si="57"/>
        <v>0</v>
      </c>
      <c r="D78" s="61">
        <f t="shared" si="61"/>
        <v>18</v>
      </c>
      <c r="F78" s="9" t="s">
        <v>148</v>
      </c>
      <c r="G78" s="10">
        <v>1</v>
      </c>
      <c r="H78" s="10">
        <v>2</v>
      </c>
      <c r="I78" s="9" t="s">
        <v>90</v>
      </c>
      <c r="J78" s="6"/>
      <c r="K78" s="61">
        <f t="shared" si="62"/>
        <v>16</v>
      </c>
      <c r="M78" s="2">
        <f t="shared" si="58"/>
        <v>3</v>
      </c>
      <c r="O78" s="2" t="str">
        <f t="shared" si="59"/>
        <v>P</v>
      </c>
      <c r="P78" s="2" t="str">
        <f t="shared" si="60"/>
        <v>G</v>
      </c>
      <c r="S78" s="2" t="str">
        <f t="shared" si="63"/>
        <v>SC Paderborn 071. FSV Mainz 05</v>
      </c>
      <c r="T78" s="2" t="str">
        <f t="shared" si="64"/>
        <v>1-2</v>
      </c>
      <c r="V78" s="2" t="str">
        <f t="shared" si="54"/>
        <v>RB Leipzig</v>
      </c>
      <c r="W78" s="2">
        <f t="shared" si="52"/>
        <v>1</v>
      </c>
      <c r="Y78" s="19">
        <f>RANK(AI78,$AI$65:$AI$82,0)+COUNTIF($AI$64:AI77,AI78)</f>
        <v>1</v>
      </c>
      <c r="Z78" s="19" t="str">
        <f t="shared" si="53"/>
        <v>RB Leipzig</v>
      </c>
      <c r="AA78" s="19">
        <f>COUNTIFS(F4:F34,Z78,G4:G34,"&gt;=0")+COUNTIFS(I4:I34,Z78,H4:H34,"&gt;=0")</f>
        <v>3</v>
      </c>
      <c r="AB78" s="19">
        <f>COUNTIFS(F4:F34,Z78,B4:B34,3)+COUNTIFS(I4:I34,Z78,M4:M34,3)</f>
        <v>3</v>
      </c>
      <c r="AC78" s="19">
        <f>COUNTIFS(F4:F34,Z78,B4:B34,1)+COUNTIFS(I4:I34,Z78,M4:M34,1)</f>
        <v>0</v>
      </c>
      <c r="AD78" s="19">
        <f>COUNTIFS(F4:F34,Z78,B4:B34,0)+COUNTIFS(I4:I34,Z78,M4:M34,0)</f>
        <v>0</v>
      </c>
      <c r="AE78" s="19">
        <f>SUMIF(F4:F34,Z78,G4:G34)+SUMIF(I4:I34,Z78,H4:H34)</f>
        <v>9</v>
      </c>
      <c r="AF78" s="19">
        <f>SUMIF(F4:F34,Z78,H4:H34)+SUMIF(I4:I34,Z78,G4:G34)</f>
        <v>2</v>
      </c>
      <c r="AG78" s="19">
        <f t="shared" si="56"/>
        <v>7</v>
      </c>
      <c r="AH78" s="19">
        <f t="shared" si="65"/>
        <v>9</v>
      </c>
      <c r="AI78" s="19">
        <f t="shared" si="55"/>
        <v>9000.0789999999997</v>
      </c>
      <c r="AJ78" s="2"/>
      <c r="AW78" s="7"/>
    </row>
    <row r="79" spans="1:49" x14ac:dyDescent="0.25">
      <c r="A79" s="1"/>
      <c r="F79" s="107"/>
      <c r="G79" s="108"/>
      <c r="H79" s="108"/>
      <c r="I79" s="107"/>
      <c r="J79" s="6"/>
      <c r="O79" s="2" t="str">
        <f t="shared" si="59"/>
        <v/>
      </c>
      <c r="P79" s="2" t="str">
        <f t="shared" si="60"/>
        <v/>
      </c>
      <c r="V79" s="2" t="str">
        <f t="shared" si="54"/>
        <v>SC Freiburg</v>
      </c>
      <c r="W79" s="2">
        <f t="shared" si="52"/>
        <v>6</v>
      </c>
      <c r="Y79" s="19">
        <f>RANK(AI79,$AI$65:$AI$82,0)+COUNTIF($AI$64:AI78,AI79)</f>
        <v>6</v>
      </c>
      <c r="Z79" s="19" t="str">
        <f t="shared" si="53"/>
        <v>SC Freiburg</v>
      </c>
      <c r="AA79" s="19">
        <f>COUNTIFS(F4:F34,Z79,G4:G34,"&gt;=0")+COUNTIFS(I4:I34,Z79,H4:H34,"&gt;=0")</f>
        <v>3</v>
      </c>
      <c r="AB79" s="19">
        <f>COUNTIFS(F4:F34,Z79,B4:B34,3)+COUNTIFS(I4:I34,Z79,M4:M34,3)</f>
        <v>2</v>
      </c>
      <c r="AC79" s="19">
        <f>COUNTIFS(F4:F34,Z79,B4:B34,1)+COUNTIFS(I4:I34,Z79,M4:M34,1)</f>
        <v>0</v>
      </c>
      <c r="AD79" s="19">
        <f>COUNTIFS(F4:F34,Z79,B4:B34,0)+COUNTIFS(I4:I34,Z79,M4:M34,0)</f>
        <v>1</v>
      </c>
      <c r="AE79" s="19">
        <f>SUMIF(F4:F34,Z79,G4:G34)+SUMIF(I4:I34,Z79,H4:H34)</f>
        <v>7</v>
      </c>
      <c r="AF79" s="19">
        <f>SUMIF(F4:F34,Z79,H4:H34)+SUMIF(I4:I34,Z79,G4:G34)</f>
        <v>3</v>
      </c>
      <c r="AG79" s="19">
        <f t="shared" si="56"/>
        <v>4</v>
      </c>
      <c r="AH79" s="19">
        <f t="shared" si="65"/>
        <v>6</v>
      </c>
      <c r="AI79" s="19">
        <f t="shared" si="55"/>
        <v>6000.0469999999996</v>
      </c>
      <c r="AJ79" s="2"/>
      <c r="AW79" s="7"/>
    </row>
    <row r="80" spans="1:49" x14ac:dyDescent="0.25">
      <c r="A80" s="1"/>
      <c r="B80" s="2" t="str">
        <f t="shared" si="57"/>
        <v/>
      </c>
      <c r="F80" s="154" t="s">
        <v>47</v>
      </c>
      <c r="G80" s="154"/>
      <c r="H80" s="154"/>
      <c r="I80" s="154"/>
      <c r="J80" s="6"/>
      <c r="M80" s="2" t="str">
        <f t="shared" ref="M80:M89" si="66">IF(H80="","",IF(H80&gt;G80,3,IF(H80=G80,1,0)))</f>
        <v/>
      </c>
      <c r="O80" s="2" t="str">
        <f t="shared" si="59"/>
        <v/>
      </c>
      <c r="P80" s="2" t="str">
        <f t="shared" si="60"/>
        <v/>
      </c>
      <c r="V80" s="2" t="str">
        <f t="shared" si="54"/>
        <v>SC Paderborn 07</v>
      </c>
      <c r="W80" s="2">
        <f t="shared" si="52"/>
        <v>15</v>
      </c>
      <c r="Y80" s="19">
        <f>RANK(AI80,$AI$65:$AI$82,0)+COUNTIF($AI$64:AI79,AI80)</f>
        <v>15</v>
      </c>
      <c r="Z80" s="19" t="str">
        <f t="shared" si="53"/>
        <v>SC Paderborn 07</v>
      </c>
      <c r="AA80" s="19">
        <f>COUNTIFS(F4:F34,Z80,G4:G34,"&gt;=0")+COUNTIFS(I4:I34,Z80,H4:H34,"&gt;=0")</f>
        <v>3</v>
      </c>
      <c r="AB80" s="19">
        <f>COUNTIFS(F4:F34,Z80,B4:B34,3)+COUNTIFS(I4:I34,Z80,M4:M34,3)</f>
        <v>0</v>
      </c>
      <c r="AC80" s="19">
        <f>COUNTIFS(F4:F34,Z80,B4:B34,1)+COUNTIFS(I4:I34,Z80,M4:M34,1)</f>
        <v>1</v>
      </c>
      <c r="AD80" s="19">
        <f>COUNTIFS(F4:F34,Z80,B4:B34,0)+COUNTIFS(I4:I34,Z80,M4:M34,0)</f>
        <v>2</v>
      </c>
      <c r="AE80" s="19">
        <f>SUMIF(F4:F34,Z80,G4:G34)+SUMIF(I4:I34,Z80,H4:H34)</f>
        <v>4</v>
      </c>
      <c r="AF80" s="19">
        <f>SUMIF(F4:F34,Z80,H4:H34)+SUMIF(I4:I34,Z80,G4:G34)</f>
        <v>7</v>
      </c>
      <c r="AG80" s="19">
        <f t="shared" si="56"/>
        <v>-3</v>
      </c>
      <c r="AH80" s="19">
        <f t="shared" si="65"/>
        <v>1</v>
      </c>
      <c r="AI80" s="19">
        <f t="shared" si="55"/>
        <v>999.97400000000005</v>
      </c>
      <c r="AJ80" s="2"/>
      <c r="AW80" s="7"/>
    </row>
    <row r="81" spans="1:49" x14ac:dyDescent="0.25">
      <c r="A81" s="1"/>
      <c r="B81" s="2">
        <f t="shared" si="57"/>
        <v>3</v>
      </c>
      <c r="D81" s="61">
        <f t="shared" ref="D81:D89" si="67">IFERROR(VLOOKUP(F81,$V$145:$W$162,2,FALSE),"")</f>
        <v>8</v>
      </c>
      <c r="F81" s="9" t="s">
        <v>80</v>
      </c>
      <c r="G81" s="10">
        <v>1</v>
      </c>
      <c r="H81" s="10">
        <v>0</v>
      </c>
      <c r="I81" s="9" t="s">
        <v>82</v>
      </c>
      <c r="J81" s="6"/>
      <c r="K81" s="61">
        <f t="shared" ref="K81:K89" si="68">IFERROR(VLOOKUP(I81,$V$145:$W$162,2,FALSE),"")</f>
        <v>1</v>
      </c>
      <c r="M81" s="2">
        <f t="shared" si="66"/>
        <v>0</v>
      </c>
      <c r="O81" s="2" t="str">
        <f t="shared" si="59"/>
        <v>G</v>
      </c>
      <c r="P81" s="2" t="str">
        <f t="shared" si="60"/>
        <v>P</v>
      </c>
      <c r="S81" s="2" t="str">
        <f t="shared" ref="S81:S89" si="69">IF(M81&lt;&gt;"",F81&amp;I81,"")</f>
        <v>Borussia DortmundBor. Mönchengladbach</v>
      </c>
      <c r="T81" s="2" t="str">
        <f t="shared" ref="T81:T89" si="70">IF(S81&lt;&gt;"",G81&amp;"-"&amp;H81,"")</f>
        <v>1-0</v>
      </c>
      <c r="V81" s="2" t="str">
        <f t="shared" si="54"/>
        <v>VfL Wolfsburg</v>
      </c>
      <c r="W81" s="2">
        <f t="shared" si="52"/>
        <v>3</v>
      </c>
      <c r="Y81" s="19">
        <f>RANK(AI81,$AI$65:$AI$82,0)+COUNTIF($AI$64:AI80,AI81)</f>
        <v>3</v>
      </c>
      <c r="Z81" s="19" t="str">
        <f t="shared" si="53"/>
        <v>VfL Wolfsburg</v>
      </c>
      <c r="AA81" s="19">
        <f>COUNTIFS(F4:F34,Z81,G4:G34,"&gt;=0")+COUNTIFS(I4:I34,Z81,H4:H34,"&gt;=0")</f>
        <v>3</v>
      </c>
      <c r="AB81" s="19">
        <f>COUNTIFS(F4:F34,Z81,B4:B34,3)+COUNTIFS(I4:I34,Z81,M4:M34,3)</f>
        <v>2</v>
      </c>
      <c r="AC81" s="19">
        <f>COUNTIFS(F4:F34,Z81,B4:B34,1)+COUNTIFS(I4:I34,Z81,M4:M34,1)</f>
        <v>1</v>
      </c>
      <c r="AD81" s="19">
        <f>COUNTIFS(F4:F34,Z81,B4:B34,0)+COUNTIFS(I4:I34,Z81,M4:M34,0)</f>
        <v>0</v>
      </c>
      <c r="AE81" s="19">
        <f>SUMIF(F4:F34,Z81,G4:G34)+SUMIF(I4:I34,Z81,H4:H34)</f>
        <v>6</v>
      </c>
      <c r="AF81" s="19">
        <f>SUMIF(F4:F34,Z81,H4:H34)+SUMIF(I4:I34,Z81,G4:G34)</f>
        <v>2</v>
      </c>
      <c r="AG81" s="19">
        <f t="shared" si="56"/>
        <v>4</v>
      </c>
      <c r="AH81" s="19">
        <f t="shared" si="65"/>
        <v>7</v>
      </c>
      <c r="AI81" s="19">
        <f t="shared" si="55"/>
        <v>7000.0460000000003</v>
      </c>
      <c r="AJ81" s="2"/>
      <c r="AW81" s="7"/>
    </row>
    <row r="82" spans="1:49" x14ac:dyDescent="0.25">
      <c r="A82" s="1"/>
      <c r="B82" s="2">
        <f t="shared" si="57"/>
        <v>1</v>
      </c>
      <c r="D82" s="61">
        <f t="shared" si="67"/>
        <v>4</v>
      </c>
      <c r="F82" s="9" t="s">
        <v>81</v>
      </c>
      <c r="G82" s="10">
        <v>1</v>
      </c>
      <c r="H82" s="10">
        <v>1</v>
      </c>
      <c r="I82" s="9" t="s">
        <v>85</v>
      </c>
      <c r="J82" s="6"/>
      <c r="K82" s="61">
        <f t="shared" si="68"/>
        <v>2</v>
      </c>
      <c r="M82" s="2">
        <f t="shared" si="66"/>
        <v>1</v>
      </c>
      <c r="O82" s="2" t="str">
        <f t="shared" si="59"/>
        <v>N</v>
      </c>
      <c r="P82" s="2" t="str">
        <f t="shared" si="60"/>
        <v>N</v>
      </c>
      <c r="S82" s="2" t="str">
        <f t="shared" si="69"/>
        <v>RB LeipzigVfL Wolfsburg</v>
      </c>
      <c r="T82" s="2" t="str">
        <f t="shared" si="70"/>
        <v>1-1</v>
      </c>
      <c r="V82" s="2" t="str">
        <f t="shared" si="54"/>
        <v>Werder Bremen</v>
      </c>
      <c r="W82" s="2">
        <f t="shared" si="52"/>
        <v>13</v>
      </c>
      <c r="Y82" s="19">
        <f>RANK(AI82,$AI$65:$AI$82,0)+COUNTIF($AI$64:AI81,AI82)</f>
        <v>13</v>
      </c>
      <c r="Z82" s="19" t="str">
        <f t="shared" si="53"/>
        <v>Werder Bremen</v>
      </c>
      <c r="AA82" s="19">
        <f>COUNTIFS(F4:F34,Z82,G4:G34,"&gt;=0")+COUNTIFS(I4:I34,Z82,H4:H34,"&gt;=0")</f>
        <v>3</v>
      </c>
      <c r="AB82" s="19">
        <f>COUNTIFS(F4:F34,Z82,B4:B34,3)+COUNTIFS(I4:I34,Z82,M4:M34,3)</f>
        <v>1</v>
      </c>
      <c r="AC82" s="19">
        <f>COUNTIFS(F4:F34,Z82,B4:B34,1)+COUNTIFS(I4:I34,Z82,M4:M34,1)</f>
        <v>0</v>
      </c>
      <c r="AD82" s="19">
        <f>COUNTIFS(F4:F34,Z82,B4:B34,0)+COUNTIFS(I4:I34,Z82,M4:M34,0)</f>
        <v>2</v>
      </c>
      <c r="AE82" s="19">
        <f>SUMIF(F4:F34,Z82,G4:G34)+SUMIF(I4:I34,Z82,H4:H34)</f>
        <v>6</v>
      </c>
      <c r="AF82" s="19">
        <f>SUMIF(F4:F34,Z82,H4:H34)+SUMIF(I4:I34,Z82,G4:G34)</f>
        <v>8</v>
      </c>
      <c r="AG82" s="19">
        <f t="shared" si="56"/>
        <v>-2</v>
      </c>
      <c r="AH82" s="19">
        <f t="shared" si="65"/>
        <v>3</v>
      </c>
      <c r="AI82" s="19">
        <f t="shared" si="55"/>
        <v>2999.9859999999999</v>
      </c>
      <c r="AJ82" s="2"/>
      <c r="AW82" s="7"/>
    </row>
    <row r="83" spans="1:49" x14ac:dyDescent="0.25">
      <c r="A83" s="1"/>
      <c r="B83" s="2">
        <f t="shared" si="57"/>
        <v>3</v>
      </c>
      <c r="D83" s="61">
        <f t="shared" si="67"/>
        <v>9</v>
      </c>
      <c r="F83" s="9" t="s">
        <v>84</v>
      </c>
      <c r="G83" s="10">
        <v>3</v>
      </c>
      <c r="H83" s="10">
        <v>0</v>
      </c>
      <c r="I83" s="9" t="s">
        <v>83</v>
      </c>
      <c r="J83" s="6"/>
      <c r="K83" s="61">
        <f t="shared" si="68"/>
        <v>7</v>
      </c>
      <c r="M83" s="2">
        <f t="shared" si="66"/>
        <v>0</v>
      </c>
      <c r="O83" s="2" t="str">
        <f t="shared" si="59"/>
        <v>G</v>
      </c>
      <c r="P83" s="2" t="str">
        <f t="shared" si="60"/>
        <v>P</v>
      </c>
      <c r="S83" s="2" t="str">
        <f t="shared" si="69"/>
        <v>Eintracht FrankfurtBayer Leverkusen</v>
      </c>
      <c r="T83" s="2" t="str">
        <f t="shared" si="70"/>
        <v>3-0</v>
      </c>
      <c r="AJ83" s="2"/>
      <c r="AW83" s="7"/>
    </row>
    <row r="84" spans="1:49" x14ac:dyDescent="0.25">
      <c r="A84" s="1"/>
      <c r="B84" s="2">
        <f t="shared" si="57"/>
        <v>1</v>
      </c>
      <c r="D84" s="61">
        <f t="shared" si="67"/>
        <v>11</v>
      </c>
      <c r="F84" s="9" t="s">
        <v>87</v>
      </c>
      <c r="G84" s="10">
        <v>1</v>
      </c>
      <c r="H84" s="10">
        <v>1</v>
      </c>
      <c r="I84" s="9" t="s">
        <v>88</v>
      </c>
      <c r="J84" s="6"/>
      <c r="K84" s="61">
        <f t="shared" si="68"/>
        <v>10</v>
      </c>
      <c r="M84" s="2">
        <f t="shared" si="66"/>
        <v>1</v>
      </c>
      <c r="O84" s="2" t="str">
        <f t="shared" si="59"/>
        <v>N</v>
      </c>
      <c r="P84" s="2" t="str">
        <f t="shared" si="60"/>
        <v>N</v>
      </c>
      <c r="S84" s="2" t="str">
        <f t="shared" si="69"/>
        <v>Werder BremenHertha BSC</v>
      </c>
      <c r="T84" s="2" t="str">
        <f t="shared" si="70"/>
        <v>1-1</v>
      </c>
      <c r="W84" s="18">
        <v>4</v>
      </c>
      <c r="Y84" s="19"/>
      <c r="Z84" s="19" t="s">
        <v>1</v>
      </c>
      <c r="AA84" s="19" t="s">
        <v>2</v>
      </c>
      <c r="AB84" s="19" t="s">
        <v>3</v>
      </c>
      <c r="AC84" s="19" t="s">
        <v>4</v>
      </c>
      <c r="AD84" s="19" t="s">
        <v>5</v>
      </c>
      <c r="AE84" s="19" t="s">
        <v>6</v>
      </c>
      <c r="AF84" s="19" t="s">
        <v>7</v>
      </c>
      <c r="AG84" s="19" t="s">
        <v>8</v>
      </c>
      <c r="AH84" s="19" t="s">
        <v>9</v>
      </c>
      <c r="AI84" s="19" t="s">
        <v>0</v>
      </c>
      <c r="AJ84" s="2"/>
      <c r="AW84" s="7"/>
    </row>
    <row r="85" spans="1:49" x14ac:dyDescent="0.25">
      <c r="A85" s="1"/>
      <c r="B85" s="2">
        <f t="shared" si="57"/>
        <v>3</v>
      </c>
      <c r="D85" s="61">
        <f t="shared" si="67"/>
        <v>12</v>
      </c>
      <c r="F85" s="9" t="s">
        <v>86</v>
      </c>
      <c r="G85" s="10">
        <v>2</v>
      </c>
      <c r="H85" s="10">
        <v>0</v>
      </c>
      <c r="I85" s="9" t="s">
        <v>93</v>
      </c>
      <c r="J85" s="6"/>
      <c r="K85" s="61">
        <f t="shared" si="68"/>
        <v>6</v>
      </c>
      <c r="M85" s="2">
        <f t="shared" si="66"/>
        <v>0</v>
      </c>
      <c r="O85" s="2" t="str">
        <f t="shared" si="59"/>
        <v>G</v>
      </c>
      <c r="P85" s="2" t="str">
        <f t="shared" si="60"/>
        <v>P</v>
      </c>
      <c r="S85" s="2" t="str">
        <f t="shared" si="69"/>
        <v>1899 HoffenheimFC Schalke 04</v>
      </c>
      <c r="T85" s="2" t="str">
        <f t="shared" si="70"/>
        <v>2-0</v>
      </c>
      <c r="V85" s="2" t="str">
        <f>CONCATENATE(Z85)</f>
        <v>1. FC Köln</v>
      </c>
      <c r="W85" s="2">
        <f t="shared" ref="W85:W102" si="71">Y85</f>
        <v>14</v>
      </c>
      <c r="Y85" s="19">
        <f>RANK(AI85,$AI$85:$AI$102,0)+COUNTIF($AI$84:AI84,AI85)</f>
        <v>14</v>
      </c>
      <c r="Z85" s="19" t="str">
        <f t="shared" ref="Z85:Z102" si="72">CONCATENATE(Z5)</f>
        <v>1. FC Köln</v>
      </c>
      <c r="AA85" s="19">
        <f>COUNTIFS(F4:F45,Z85,G4:G45,"&gt;=0")+COUNTIFS(I4:I45,Z85,H4:H45,"&gt;=0")</f>
        <v>4</v>
      </c>
      <c r="AB85" s="19">
        <f>COUNTIFS(F4:F45,Z85,B4:B45,3)+COUNTIFS(I4:I45,Z85,M4:M45,3)</f>
        <v>1</v>
      </c>
      <c r="AC85" s="19">
        <f>COUNTIFS(F4:F45,Z85,B4:B45,1)+COUNTIFS(I4:I45,Z85,M4:M45,1)</f>
        <v>0</v>
      </c>
      <c r="AD85" s="19">
        <f>COUNTIFS(F4:F45,Z85,B4:B45,0)+COUNTIFS(I4:I45,Z85,M4:M45,0)</f>
        <v>3</v>
      </c>
      <c r="AE85" s="19">
        <f>SUMIF(F4:F45,Z85,G4:G45)+SUMIF(I4:I45,Z85,H4:H45)</f>
        <v>4</v>
      </c>
      <c r="AF85" s="19">
        <f>SUMIF(F4:F45,Z85,H4:H45)+SUMIF(I4:I45,Z85,G4:G45)</f>
        <v>7</v>
      </c>
      <c r="AG85" s="19">
        <f>+AE85-AF85</f>
        <v>-3</v>
      </c>
      <c r="AH85" s="19">
        <f>(AB85*3)+AC85</f>
        <v>3</v>
      </c>
      <c r="AI85" s="19">
        <f>SUM(AH85*1000+(AG85)/100+(AE85)/1000)</f>
        <v>2999.9739999999997</v>
      </c>
      <c r="AJ85" s="2"/>
      <c r="AW85" s="7"/>
    </row>
    <row r="86" spans="1:49" x14ac:dyDescent="0.25">
      <c r="A86" s="1"/>
      <c r="B86" s="2">
        <f t="shared" si="57"/>
        <v>3</v>
      </c>
      <c r="D86" s="61">
        <f t="shared" si="67"/>
        <v>15</v>
      </c>
      <c r="F86" s="9" t="s">
        <v>89</v>
      </c>
      <c r="G86" s="10">
        <v>1</v>
      </c>
      <c r="H86" s="10">
        <v>0</v>
      </c>
      <c r="I86" s="9" t="s">
        <v>90</v>
      </c>
      <c r="J86" s="6"/>
      <c r="K86" s="61">
        <f t="shared" si="68"/>
        <v>13</v>
      </c>
      <c r="M86" s="2">
        <f t="shared" si="66"/>
        <v>0</v>
      </c>
      <c r="O86" s="2" t="str">
        <f t="shared" si="59"/>
        <v>G</v>
      </c>
      <c r="P86" s="2" t="str">
        <f t="shared" si="60"/>
        <v>P</v>
      </c>
      <c r="S86" s="2" t="str">
        <f t="shared" si="69"/>
        <v>Fortuna Düsseldorf1. FSV Mainz 05</v>
      </c>
      <c r="T86" s="2" t="str">
        <f t="shared" si="70"/>
        <v>1-0</v>
      </c>
      <c r="V86" s="2" t="str">
        <f t="shared" ref="V86:V102" si="73">CONCATENATE(Z86)</f>
        <v>1. FC Union Berlin</v>
      </c>
      <c r="W86" s="2">
        <f t="shared" si="71"/>
        <v>12</v>
      </c>
      <c r="Y86" s="19">
        <f>RANK(AI86,$AI$85:$AI$102,0)+COUNTIF($AI$84:AI85,AI86)</f>
        <v>12</v>
      </c>
      <c r="Z86" s="19" t="str">
        <f t="shared" si="72"/>
        <v>1. FC Union Berlin</v>
      </c>
      <c r="AA86" s="19">
        <f>COUNTIFS(F4:F45,Z86,G4:G45,"&gt;=0")+COUNTIFS(I4:I45,Z86,H4:H45,"&gt;=0")</f>
        <v>4</v>
      </c>
      <c r="AB86" s="19">
        <f>COUNTIFS(F4:F45,Z86,B4:B45,3)+COUNTIFS(I4:I45,Z86,M4:M45,3)</f>
        <v>1</v>
      </c>
      <c r="AC86" s="19">
        <f>COUNTIFS(F4:F45,Z86,B4:B45,1)+COUNTIFS(I4:I45,Z86,M4:M45,1)</f>
        <v>1</v>
      </c>
      <c r="AD86" s="19">
        <f>COUNTIFS(F4:F45,Z86,B4:B45,0)+COUNTIFS(I4:I45,Z86,M4:M45,0)</f>
        <v>2</v>
      </c>
      <c r="AE86" s="19">
        <f>SUMIF(F4:F45,Z86,G4:G45)+SUMIF(I4:I45,Z86,H4:H45)</f>
        <v>5</v>
      </c>
      <c r="AF86" s="19">
        <f>SUMIF(F4:F45,Z86,H4:H45)+SUMIF(I4:I45,Z86,G4:G45)</f>
        <v>8</v>
      </c>
      <c r="AG86" s="19">
        <f>+AE86-AF86</f>
        <v>-3</v>
      </c>
      <c r="AH86" s="19">
        <f>(AB86*3)+AC86</f>
        <v>4</v>
      </c>
      <c r="AI86" s="19">
        <f t="shared" ref="AI86:AI102" si="74">SUM(AH86*1000+(AG86)/100+(AE86)/1000)</f>
        <v>3999.9749999999999</v>
      </c>
      <c r="AJ86" s="2"/>
      <c r="AW86" s="7"/>
    </row>
    <row r="87" spans="1:49" x14ac:dyDescent="0.25">
      <c r="A87" s="1"/>
      <c r="B87" s="2">
        <f t="shared" si="57"/>
        <v>1</v>
      </c>
      <c r="D87" s="61">
        <f t="shared" si="67"/>
        <v>14</v>
      </c>
      <c r="F87" s="9" t="s">
        <v>92</v>
      </c>
      <c r="G87" s="10">
        <v>2</v>
      </c>
      <c r="H87" s="10">
        <v>2</v>
      </c>
      <c r="I87" s="9" t="s">
        <v>79</v>
      </c>
      <c r="J87" s="6"/>
      <c r="K87" s="61">
        <f t="shared" si="68"/>
        <v>3</v>
      </c>
      <c r="M87" s="2">
        <f t="shared" si="66"/>
        <v>1</v>
      </c>
      <c r="O87" s="2" t="str">
        <f t="shared" si="59"/>
        <v>N</v>
      </c>
      <c r="P87" s="2" t="str">
        <f t="shared" si="60"/>
        <v>N</v>
      </c>
      <c r="S87" s="2" t="str">
        <f t="shared" si="69"/>
        <v>FC AugsburgBayern München</v>
      </c>
      <c r="T87" s="2" t="str">
        <f t="shared" si="70"/>
        <v>2-2</v>
      </c>
      <c r="V87" s="2" t="str">
        <f t="shared" si="73"/>
        <v>1. FSV Mainz 05</v>
      </c>
      <c r="W87" s="2">
        <f t="shared" si="71"/>
        <v>15</v>
      </c>
      <c r="Y87" s="19">
        <f>RANK(AI87,$AI$85:$AI$102,0)+COUNTIF($AI$84:AI86,AI87)</f>
        <v>15</v>
      </c>
      <c r="Z87" s="19" t="str">
        <f t="shared" si="72"/>
        <v>1. FSV Mainz 05</v>
      </c>
      <c r="AA87" s="19">
        <f>COUNTIFS(F4:F45,Z87,G4:G45,"&gt;=0")+COUNTIFS(I4:I45,Z87,H4:H45,"&gt;=0")</f>
        <v>4</v>
      </c>
      <c r="AB87" s="19">
        <f>COUNTIFS(F4:F45,Z87,B4:B45,3)+COUNTIFS(I4:I45,Z87,M4:M45,3)</f>
        <v>1</v>
      </c>
      <c r="AC87" s="19">
        <f>COUNTIFS(F4:F45,Z87,B4:B45,1)+COUNTIFS(I4:I45,Z87,M4:M45,1)</f>
        <v>0</v>
      </c>
      <c r="AD87" s="19">
        <f>COUNTIFS(F4:F45,Z87,B4:B45,0)+COUNTIFS(I4:I45,Z87,M4:M45,0)</f>
        <v>3</v>
      </c>
      <c r="AE87" s="19">
        <f>SUMIF(F4:F45,Z87,G4:G45)+SUMIF(I4:I45,Z87,H4:H45)</f>
        <v>4</v>
      </c>
      <c r="AF87" s="19">
        <f>SUMIF(F4:F45,Z87,H4:H45)+SUMIF(I4:I45,Z87,G4:G45)</f>
        <v>13</v>
      </c>
      <c r="AG87" s="19">
        <f>+AE87-AF87</f>
        <v>-9</v>
      </c>
      <c r="AH87" s="19">
        <f>(AB87*3)+AC87</f>
        <v>3</v>
      </c>
      <c r="AI87" s="19">
        <f t="shared" si="74"/>
        <v>2999.9139999999998</v>
      </c>
      <c r="AJ87" s="2"/>
      <c r="AW87" s="7"/>
    </row>
    <row r="88" spans="1:49" x14ac:dyDescent="0.25">
      <c r="A88" s="1"/>
      <c r="B88" s="2">
        <f t="shared" si="57"/>
        <v>3</v>
      </c>
      <c r="D88" s="61">
        <f t="shared" si="67"/>
        <v>17</v>
      </c>
      <c r="F88" s="9" t="s">
        <v>161</v>
      </c>
      <c r="G88" s="10">
        <v>3</v>
      </c>
      <c r="H88" s="10">
        <v>0</v>
      </c>
      <c r="I88" s="9" t="s">
        <v>148</v>
      </c>
      <c r="J88" s="6"/>
      <c r="K88" s="61">
        <f t="shared" si="68"/>
        <v>18</v>
      </c>
      <c r="M88" s="2">
        <f t="shared" si="66"/>
        <v>0</v>
      </c>
      <c r="O88" s="2" t="str">
        <f t="shared" si="59"/>
        <v>G</v>
      </c>
      <c r="P88" s="2" t="str">
        <f t="shared" si="60"/>
        <v>P</v>
      </c>
      <c r="S88" s="2" t="str">
        <f t="shared" si="69"/>
        <v>1. FC KölnSC Paderborn 07</v>
      </c>
      <c r="T88" s="2" t="str">
        <f t="shared" si="70"/>
        <v>3-0</v>
      </c>
      <c r="V88" s="2" t="str">
        <f t="shared" si="73"/>
        <v>1899 Hoffenheim</v>
      </c>
      <c r="W88" s="2">
        <f t="shared" si="71"/>
        <v>16</v>
      </c>
      <c r="Y88" s="19">
        <f>RANK(AI88,$AI$85:$AI$102,0)+COUNTIF($AI$84:AI87,AI88)</f>
        <v>16</v>
      </c>
      <c r="Z88" s="19" t="str">
        <f t="shared" si="72"/>
        <v>1899 Hoffenheim</v>
      </c>
      <c r="AA88" s="19">
        <f>COUNTIFS(F4:F45,Z88,G4:G45,"&gt;=0")+COUNTIFS(I4:I45,Z88,H4:H45,"&gt;=0")</f>
        <v>4</v>
      </c>
      <c r="AB88" s="19">
        <f>COUNTIFS(F26:F56,Z88,B26:B56,3)+COUNTIFS(I26:I56,Z88,M26:M56,3)</f>
        <v>0</v>
      </c>
      <c r="AC88" s="19">
        <f>COUNTIFS(F4:F45,Z88,B4:B45,1)+COUNTIFS(I4:I45,Z88,M4:M45,1)</f>
        <v>1</v>
      </c>
      <c r="AD88" s="19">
        <f>COUNTIFS(F4:F45,Z88,B4:B45,0)+COUNTIFS(I4:I45,Z88,M4:M45,0)</f>
        <v>2</v>
      </c>
      <c r="AE88" s="19">
        <f>SUMIF(F4:F45,Z88,G4:G45)+SUMIF(I4:I45,Z88,H4:H45)</f>
        <v>3</v>
      </c>
      <c r="AF88" s="19">
        <f>SUMIF(F4:F45,Z88,H4:H45)+SUMIF(I4:I45,Z88,G4:G45)</f>
        <v>6</v>
      </c>
      <c r="AG88" s="19">
        <f t="shared" ref="AG88:AG102" si="75">+AE88-AF88</f>
        <v>-3</v>
      </c>
      <c r="AH88" s="19">
        <f>(AB88*3)+AC88</f>
        <v>1</v>
      </c>
      <c r="AI88" s="19">
        <f t="shared" si="74"/>
        <v>999.97300000000007</v>
      </c>
      <c r="AJ88" s="2"/>
      <c r="AW88" s="7"/>
    </row>
    <row r="89" spans="1:49" x14ac:dyDescent="0.25">
      <c r="A89" s="1"/>
      <c r="B89" s="2">
        <f t="shared" si="57"/>
        <v>3</v>
      </c>
      <c r="D89" s="61">
        <f t="shared" si="67"/>
        <v>16</v>
      </c>
      <c r="F89" s="9" t="s">
        <v>162</v>
      </c>
      <c r="G89" s="10">
        <v>2</v>
      </c>
      <c r="H89" s="10">
        <v>0</v>
      </c>
      <c r="I89" s="9" t="s">
        <v>91</v>
      </c>
      <c r="J89" s="6"/>
      <c r="K89" s="61">
        <f t="shared" si="68"/>
        <v>5</v>
      </c>
      <c r="M89" s="2">
        <f t="shared" si="66"/>
        <v>0</v>
      </c>
      <c r="O89" s="2" t="str">
        <f t="shared" si="59"/>
        <v>G</v>
      </c>
      <c r="P89" s="2" t="str">
        <f t="shared" si="60"/>
        <v>P</v>
      </c>
      <c r="S89" s="2" t="str">
        <f t="shared" si="69"/>
        <v>1. FC Union BerlinSC Freiburg</v>
      </c>
      <c r="T89" s="2" t="str">
        <f t="shared" si="70"/>
        <v>2-0</v>
      </c>
      <c r="V89" s="2" t="str">
        <f t="shared" si="73"/>
        <v>Bayer Leverkusen</v>
      </c>
      <c r="W89" s="2">
        <f t="shared" si="71"/>
        <v>8</v>
      </c>
      <c r="Y89" s="19">
        <f>RANK(AI89,$AI$85:$AI$102,0)+COUNTIF($AI$84:AI88,AI89)</f>
        <v>8</v>
      </c>
      <c r="Z89" s="19" t="str">
        <f t="shared" si="72"/>
        <v>Bayer Leverkusen</v>
      </c>
      <c r="AA89" s="19">
        <f>COUNTIFS(F4:F45,Z89,G4:G45,"&gt;=0")+COUNTIFS(I4:I45,Z89,H4:H45,"&gt;=0")</f>
        <v>4</v>
      </c>
      <c r="AB89" s="19">
        <f>COUNTIFS(F4:F45,Z89,B4:B45,3)+COUNTIFS(I4:I45,Z89,M4:M45,3)</f>
        <v>2</v>
      </c>
      <c r="AC89" s="19">
        <f>COUNTIFS(F4:F45,Z89,B4:B45,1)+COUNTIFS(I4:I45,Z89,M4:M45,1)</f>
        <v>1</v>
      </c>
      <c r="AD89" s="19">
        <f>COUNTIFS(F4:F45,Z89,B4:B45,0)+COUNTIFS(I4:I45,Z89,M4:M45,0)</f>
        <v>1</v>
      </c>
      <c r="AE89" s="19">
        <f>SUMIF(F4:F45,Z89,G4:G45)+SUMIF(I4:I45,Z89,H4:H45)</f>
        <v>6</v>
      </c>
      <c r="AF89" s="19">
        <f>SUMIF(F4:F45,Z89,H4:H45)+SUMIF(I4:I45,Z89,G4:G45)</f>
        <v>7</v>
      </c>
      <c r="AG89" s="19">
        <f t="shared" si="75"/>
        <v>-1</v>
      </c>
      <c r="AH89" s="19">
        <f>(AB89*3)+AC89</f>
        <v>7</v>
      </c>
      <c r="AI89" s="19">
        <f t="shared" si="74"/>
        <v>6999.9960000000001</v>
      </c>
      <c r="AJ89" s="2"/>
      <c r="AW89" s="7"/>
    </row>
    <row r="90" spans="1:49" x14ac:dyDescent="0.25">
      <c r="A90" s="1"/>
      <c r="F90" s="107"/>
      <c r="G90" s="108"/>
      <c r="H90" s="108"/>
      <c r="I90" s="107"/>
      <c r="J90" s="6"/>
      <c r="O90" s="2" t="str">
        <f t="shared" si="59"/>
        <v/>
      </c>
      <c r="P90" s="2" t="str">
        <f t="shared" si="60"/>
        <v/>
      </c>
      <c r="V90" s="2" t="str">
        <f t="shared" si="73"/>
        <v>Bayern München</v>
      </c>
      <c r="W90" s="2">
        <f t="shared" si="71"/>
        <v>4</v>
      </c>
      <c r="Y90" s="19">
        <f>RANK(AI90,$AI$85:$AI$102,0)+COUNTIF($AI$84:AI89,AI90)</f>
        <v>4</v>
      </c>
      <c r="Z90" s="19" t="str">
        <f t="shared" si="72"/>
        <v>Bayern München</v>
      </c>
      <c r="AA90" s="19">
        <f>COUNTIFS(F4:F45,Z90,G4:G45,"&gt;=0")+COUNTIFS(I4:I45,Z90,H4:H45,"&gt;=0")</f>
        <v>4</v>
      </c>
      <c r="AB90" s="19">
        <f>COUNTIFS(F4:F45,Z90,B4:B45,3)+COUNTIFS(I4:I45,Z90,M4:M45,3)</f>
        <v>2</v>
      </c>
      <c r="AC90" s="19">
        <f>COUNTIFS(F4:F45,Z90,B4:B45,1)+COUNTIFS(I4:I45,Z90,M4:M45,1)</f>
        <v>2</v>
      </c>
      <c r="AD90" s="19">
        <f>COUNTIFS(F4:F45,Z90,B4:B45,0)+COUNTIFS(I4:I45,Z90,M4:M45,0)</f>
        <v>0</v>
      </c>
      <c r="AE90" s="19">
        <f>SUMIF(F4:F45,Z90,G4:G45)+SUMIF(I4:I45,Z90,H4:H45)</f>
        <v>12</v>
      </c>
      <c r="AF90" s="19">
        <f>SUMIF(F4:F45,Z90,H4:H45)+SUMIF(I4:I45,Z90,G4:G45)</f>
        <v>4</v>
      </c>
      <c r="AG90" s="19">
        <f t="shared" si="75"/>
        <v>8</v>
      </c>
      <c r="AH90" s="19">
        <f t="shared" ref="AH90:AH102" si="76">(AB90*3)+AC90</f>
        <v>8</v>
      </c>
      <c r="AI90" s="19">
        <f t="shared" si="74"/>
        <v>8000.0919999999996</v>
      </c>
      <c r="AJ90" s="2"/>
      <c r="AW90" s="7"/>
    </row>
    <row r="91" spans="1:49" x14ac:dyDescent="0.25">
      <c r="A91" s="1"/>
      <c r="B91" s="2" t="str">
        <f t="shared" si="57"/>
        <v/>
      </c>
      <c r="F91" s="154" t="s">
        <v>48</v>
      </c>
      <c r="G91" s="154"/>
      <c r="H91" s="154"/>
      <c r="I91" s="154"/>
      <c r="J91" s="6"/>
      <c r="M91" s="2" t="str">
        <f t="shared" ref="M91:M100" si="77">IF(H91="","",IF(H91&gt;G91,3,IF(H91=G91,1,0)))</f>
        <v/>
      </c>
      <c r="O91" s="2" t="str">
        <f t="shared" si="59"/>
        <v/>
      </c>
      <c r="P91" s="2" t="str">
        <f t="shared" si="60"/>
        <v/>
      </c>
      <c r="V91" s="2" t="str">
        <f t="shared" si="73"/>
        <v>Bor. Mönchengladbach</v>
      </c>
      <c r="W91" s="2">
        <f t="shared" si="71"/>
        <v>7</v>
      </c>
      <c r="Y91" s="19">
        <f>RANK(AI91,$AI$85:$AI$102,0)+COUNTIF($AI$84:AI90,AI91)</f>
        <v>7</v>
      </c>
      <c r="Z91" s="19" t="str">
        <f t="shared" si="72"/>
        <v>Bor. Mönchengladbach</v>
      </c>
      <c r="AA91" s="19">
        <f>COUNTIFS(F4:F45,Z91,G4:G45,"&gt;=0")+COUNTIFS(I4:I45,Z91,H4:H45,"&gt;=0")</f>
        <v>4</v>
      </c>
      <c r="AB91" s="19">
        <f>COUNTIFS(F4:F45,Z91,B4:B45,3)+COUNTIFS(I4:I45,Z91,M4:M45,3)</f>
        <v>2</v>
      </c>
      <c r="AC91" s="19">
        <f>COUNTIFS(F4:F45,Z91,B4:B45,1)+COUNTIFS(I4:I45,Z91,M4:M45,1)</f>
        <v>1</v>
      </c>
      <c r="AD91" s="19">
        <f>COUNTIFS(F4:F45,Z91,B4:B45,0)+COUNTIFS(I4:I45,Z91,M4:M45,0)</f>
        <v>1</v>
      </c>
      <c r="AE91" s="19">
        <f>SUMIF(F4:F45,Z91,G4:G45)+SUMIF(I4:I45,Z91,H4:H45)</f>
        <v>5</v>
      </c>
      <c r="AF91" s="19">
        <f>SUMIF(F4:F45,Z91,H4:H45)+SUMIF(I4:I45,Z91,G4:G45)</f>
        <v>4</v>
      </c>
      <c r="AG91" s="19">
        <f t="shared" si="75"/>
        <v>1</v>
      </c>
      <c r="AH91" s="19">
        <f t="shared" si="76"/>
        <v>7</v>
      </c>
      <c r="AI91" s="19">
        <f t="shared" si="74"/>
        <v>7000.0150000000003</v>
      </c>
      <c r="AW91" s="7"/>
    </row>
    <row r="92" spans="1:49" x14ac:dyDescent="0.25">
      <c r="A92" s="1"/>
      <c r="B92" s="2">
        <f t="shared" si="57"/>
        <v>3</v>
      </c>
      <c r="D92" s="61">
        <f t="shared" ref="D92:D100" si="78">IFERROR(VLOOKUP(F92,$V$165:$W$182,2,FALSE),"")</f>
        <v>3</v>
      </c>
      <c r="F92" s="9" t="s">
        <v>79</v>
      </c>
      <c r="G92" s="10">
        <v>2</v>
      </c>
      <c r="H92" s="10">
        <v>1</v>
      </c>
      <c r="I92" s="9" t="s">
        <v>162</v>
      </c>
      <c r="J92" s="6"/>
      <c r="K92" s="61">
        <f t="shared" ref="K92:K100" si="79">IFERROR(VLOOKUP(I92,$V$165:$W$182,2,FALSE),"")</f>
        <v>14</v>
      </c>
      <c r="M92" s="2">
        <f t="shared" si="77"/>
        <v>0</v>
      </c>
      <c r="O92" s="2" t="str">
        <f t="shared" si="59"/>
        <v>G</v>
      </c>
      <c r="P92" s="2" t="str">
        <f t="shared" si="60"/>
        <v>P</v>
      </c>
      <c r="S92" s="2" t="str">
        <f t="shared" ref="S92:S100" si="80">IF(M92&lt;&gt;"",F92&amp;I92,"")</f>
        <v>Bayern München1. FC Union Berlin</v>
      </c>
      <c r="T92" s="2" t="str">
        <f t="shared" ref="T92:T100" si="81">IF(S92&lt;&gt;"",G92&amp;"-"&amp;H92,"")</f>
        <v>2-1</v>
      </c>
      <c r="V92" s="2" t="str">
        <f t="shared" si="73"/>
        <v>Borussia Dortmund</v>
      </c>
      <c r="W92" s="2">
        <f t="shared" si="71"/>
        <v>2</v>
      </c>
      <c r="Y92" s="19">
        <f>RANK(AI92,$AI$85:$AI$102,0)+COUNTIF($AI$84:AI91,AI92)</f>
        <v>2</v>
      </c>
      <c r="Z92" s="19" t="str">
        <f t="shared" si="72"/>
        <v>Borussia Dortmund</v>
      </c>
      <c r="AA92" s="19">
        <f>COUNTIFS(F4:F45,Z92,G4:G45,"&gt;=0")+COUNTIFS(I4:I45,Z92,H4:H45,"&gt;=0")</f>
        <v>4</v>
      </c>
      <c r="AB92" s="19">
        <f>COUNTIFS(F4:F45,Z92,B4:B45,3)+COUNTIFS(I4:I45,Z92,M4:M45,3)</f>
        <v>3</v>
      </c>
      <c r="AC92" s="19">
        <f>COUNTIFS(F4:F45,Z92,B4:B45,1)+COUNTIFS(I4:I45,Z92,M4:M45,1)</f>
        <v>0</v>
      </c>
      <c r="AD92" s="19">
        <f>COUNTIFS(F4:F45,Z92,B4:B45,0)+COUNTIFS(I4:I45,Z92,M4:M45,0)</f>
        <v>1</v>
      </c>
      <c r="AE92" s="19">
        <f>SUMIF(F4:F45,Z92,G4:G45)+SUMIF(I4:I45,Z92,H4:H45)</f>
        <v>13</v>
      </c>
      <c r="AF92" s="19">
        <f>SUMIF(F4:F45,Z92,H4:H45)+SUMIF(I4:I45,Z92,G4:G45)</f>
        <v>5</v>
      </c>
      <c r="AG92" s="19">
        <f t="shared" si="75"/>
        <v>8</v>
      </c>
      <c r="AH92" s="19">
        <f t="shared" si="76"/>
        <v>9</v>
      </c>
      <c r="AI92" s="19">
        <f t="shared" si="74"/>
        <v>9000.0930000000008</v>
      </c>
      <c r="AJ92" s="2"/>
      <c r="AW92" s="7"/>
    </row>
    <row r="93" spans="1:49" x14ac:dyDescent="0.25">
      <c r="A93" s="1"/>
      <c r="B93" s="2">
        <f t="shared" si="57"/>
        <v>1</v>
      </c>
      <c r="D93" s="61">
        <f t="shared" si="78"/>
        <v>9</v>
      </c>
      <c r="F93" s="9" t="s">
        <v>83</v>
      </c>
      <c r="G93" s="10">
        <v>2</v>
      </c>
      <c r="H93" s="10">
        <v>2</v>
      </c>
      <c r="I93" s="9" t="s">
        <v>87</v>
      </c>
      <c r="J93" s="6"/>
      <c r="K93" s="61">
        <f t="shared" si="79"/>
        <v>12</v>
      </c>
      <c r="M93" s="2">
        <f t="shared" si="77"/>
        <v>1</v>
      </c>
      <c r="O93" s="2" t="str">
        <f t="shared" si="59"/>
        <v>N</v>
      </c>
      <c r="P93" s="2" t="str">
        <f t="shared" si="60"/>
        <v>N</v>
      </c>
      <c r="S93" s="2" t="str">
        <f t="shared" si="80"/>
        <v>Bayer LeverkusenWerder Bremen</v>
      </c>
      <c r="T93" s="2" t="str">
        <f t="shared" si="81"/>
        <v>2-2</v>
      </c>
      <c r="V93" s="2" t="str">
        <f t="shared" si="73"/>
        <v>Eintracht Frankfurt</v>
      </c>
      <c r="W93" s="2">
        <f t="shared" si="71"/>
        <v>9</v>
      </c>
      <c r="Y93" s="19">
        <f>RANK(AI93,$AI$85:$AI$102,0)+COUNTIF($AI$84:AI92,AI93)</f>
        <v>9</v>
      </c>
      <c r="Z93" s="19" t="str">
        <f t="shared" si="72"/>
        <v>Eintracht Frankfurt</v>
      </c>
      <c r="AA93" s="19">
        <f>COUNTIFS(F4:F45,Z93,G4:G45,"&gt;=0")+COUNTIFS(I4:I45,Z93,H4:H45,"&gt;=0")</f>
        <v>4</v>
      </c>
      <c r="AB93" s="19">
        <f>COUNTIFS(F4:F45,Z93,B4:B45,3)+COUNTIFS(I4:I45,Z93,M4:M45,3)</f>
        <v>2</v>
      </c>
      <c r="AC93" s="19">
        <f>COUNTIFS(F4:F45,Z93,B4:B45,1)+COUNTIFS(I4:I45,Z93,M4:M45,1)</f>
        <v>0</v>
      </c>
      <c r="AD93" s="19">
        <f>COUNTIFS(F4:F45,Z93,B4:B45,0)+COUNTIFS(I4:I45,Z93,M4:M45,0)</f>
        <v>2</v>
      </c>
      <c r="AE93" s="19">
        <f>SUMIF(F4:F45,Z93,G4:G45)+SUMIF(I4:I45,Z93,H4:H45)</f>
        <v>5</v>
      </c>
      <c r="AF93" s="19">
        <f>SUMIF(F4:F45,Z93,H4:H45)+SUMIF(I4:I45,Z93,G4:G45)</f>
        <v>5</v>
      </c>
      <c r="AG93" s="19">
        <f t="shared" si="75"/>
        <v>0</v>
      </c>
      <c r="AH93" s="19">
        <f t="shared" si="76"/>
        <v>6</v>
      </c>
      <c r="AI93" s="19">
        <f t="shared" si="74"/>
        <v>6000.0050000000001</v>
      </c>
      <c r="AJ93" s="2"/>
      <c r="AW93" s="7"/>
    </row>
    <row r="94" spans="1:49" x14ac:dyDescent="0.25">
      <c r="A94" s="1"/>
      <c r="B94" s="2">
        <f t="shared" si="57"/>
        <v>3</v>
      </c>
      <c r="D94" s="61">
        <f t="shared" si="78"/>
        <v>1</v>
      </c>
      <c r="F94" s="9" t="s">
        <v>82</v>
      </c>
      <c r="G94" s="10">
        <v>4</v>
      </c>
      <c r="H94" s="10">
        <v>2</v>
      </c>
      <c r="I94" s="9" t="s">
        <v>84</v>
      </c>
      <c r="J94" s="6"/>
      <c r="K94" s="61">
        <f t="shared" si="79"/>
        <v>8</v>
      </c>
      <c r="M94" s="2">
        <f t="shared" si="77"/>
        <v>0</v>
      </c>
      <c r="O94" s="2" t="str">
        <f t="shared" si="59"/>
        <v>G</v>
      </c>
      <c r="P94" s="2" t="str">
        <f t="shared" si="60"/>
        <v>P</v>
      </c>
      <c r="S94" s="2" t="str">
        <f t="shared" si="80"/>
        <v>Bor. MönchengladbachEintracht Frankfurt</v>
      </c>
      <c r="T94" s="2" t="str">
        <f t="shared" si="81"/>
        <v>4-2</v>
      </c>
      <c r="V94" s="2" t="str">
        <f t="shared" si="73"/>
        <v>FC Augsburg</v>
      </c>
      <c r="W94" s="2">
        <f t="shared" si="71"/>
        <v>13</v>
      </c>
      <c r="Y94" s="19">
        <f>RANK(AI94,$AI$85:$AI$102,0)+COUNTIF($AI$84:AI93,AI94)</f>
        <v>13</v>
      </c>
      <c r="Z94" s="19" t="str">
        <f t="shared" si="72"/>
        <v>FC Augsburg</v>
      </c>
      <c r="AA94" s="19">
        <f>COUNTIFS(F4:F45,Z94,G4:G45,"&gt;=0")+COUNTIFS(I4:I45,Z94,H4:H45,"&gt;=0")</f>
        <v>4</v>
      </c>
      <c r="AB94" s="19">
        <f>COUNTIFS(F4:F45,Z94,B4:B45,3)+COUNTIFS(I4:I45,Z94,M4:M45,3)</f>
        <v>1</v>
      </c>
      <c r="AC94" s="19">
        <f>COUNTIFS(F4:F45,Z94,B4:B45,1)+COUNTIFS(I4:I45,Z94,M4:M45,1)</f>
        <v>1</v>
      </c>
      <c r="AD94" s="19">
        <f>COUNTIFS(F4:F45,Z94,B4:B45,0)+COUNTIFS(I4:I45,Z94,M4:M45,0)</f>
        <v>2</v>
      </c>
      <c r="AE94" s="19">
        <f>SUMIF(F4:F45,Z94,G4:G45)+SUMIF(I4:I45,Z94,H4:H45)</f>
        <v>6</v>
      </c>
      <c r="AF94" s="19">
        <f>SUMIF(F4:F45,Z94,H4:H45)+SUMIF(I4:I45,Z94,G4:G45)</f>
        <v>10</v>
      </c>
      <c r="AG94" s="19">
        <f t="shared" si="75"/>
        <v>-4</v>
      </c>
      <c r="AH94" s="19">
        <f t="shared" si="76"/>
        <v>4</v>
      </c>
      <c r="AI94" s="19">
        <f t="shared" si="74"/>
        <v>3999.9659999999999</v>
      </c>
      <c r="AJ94" s="2"/>
      <c r="AW94" s="7"/>
    </row>
    <row r="95" spans="1:49" x14ac:dyDescent="0.25">
      <c r="A95" s="1"/>
      <c r="B95" s="2">
        <f t="shared" si="57"/>
        <v>1</v>
      </c>
      <c r="D95" s="61">
        <f t="shared" si="78"/>
        <v>2</v>
      </c>
      <c r="F95" s="9" t="s">
        <v>85</v>
      </c>
      <c r="G95" s="10">
        <v>0</v>
      </c>
      <c r="H95" s="10">
        <v>0</v>
      </c>
      <c r="I95" s="9" t="s">
        <v>92</v>
      </c>
      <c r="J95" s="6"/>
      <c r="K95" s="61">
        <f t="shared" si="79"/>
        <v>16</v>
      </c>
      <c r="M95" s="2">
        <f t="shared" si="77"/>
        <v>1</v>
      </c>
      <c r="O95" s="2" t="str">
        <f t="shared" si="59"/>
        <v>N</v>
      </c>
      <c r="P95" s="2" t="str">
        <f t="shared" si="60"/>
        <v>N</v>
      </c>
      <c r="S95" s="2" t="str">
        <f t="shared" si="80"/>
        <v>VfL WolfsburgFC Augsburg</v>
      </c>
      <c r="T95" s="2" t="str">
        <f t="shared" si="81"/>
        <v>0-0</v>
      </c>
      <c r="V95" s="2" t="str">
        <f t="shared" si="73"/>
        <v>FC Schalke 04</v>
      </c>
      <c r="W95" s="2">
        <f t="shared" si="71"/>
        <v>6</v>
      </c>
      <c r="Y95" s="19">
        <f>RANK(AI95,$AI$85:$AI$102,0)+COUNTIF($AI$84:AI94,AI95)</f>
        <v>6</v>
      </c>
      <c r="Z95" s="19" t="str">
        <f t="shared" si="72"/>
        <v>FC Schalke 04</v>
      </c>
      <c r="AA95" s="19">
        <f>COUNTIFS(F4:F45,Z95,G4:G45,"&gt;=0")+COUNTIFS(I4:I45,Z95,H4:H45,"&gt;=0")</f>
        <v>4</v>
      </c>
      <c r="AB95" s="19">
        <f>COUNTIFS(F4:F45,Z95,B4:B45,3)+COUNTIFS(I4:I45,Z95,M4:M45,3)</f>
        <v>2</v>
      </c>
      <c r="AC95" s="19">
        <f>COUNTIFS(F4:F45,Z95,B4:B45,1)+COUNTIFS(I4:I45,Z95,M4:M45,1)</f>
        <v>1</v>
      </c>
      <c r="AD95" s="19">
        <f>COUNTIFS(F4:F45,Z95,B4:B45,0)+COUNTIFS(I4:I45,Z95,M4:M45,0)</f>
        <v>1</v>
      </c>
      <c r="AE95" s="19">
        <f>SUMIF(F4:F45,Z95,G4:G45)+SUMIF(I4:I45,Z95,H4:H45)</f>
        <v>8</v>
      </c>
      <c r="AF95" s="19">
        <f>SUMIF(F4:F45,Z95,H4:H45)+SUMIF(I4:I45,Z95,G4:G45)</f>
        <v>4</v>
      </c>
      <c r="AG95" s="19">
        <f t="shared" si="75"/>
        <v>4</v>
      </c>
      <c r="AH95" s="19">
        <f t="shared" si="76"/>
        <v>7</v>
      </c>
      <c r="AI95" s="19">
        <f t="shared" si="74"/>
        <v>7000.0479999999998</v>
      </c>
      <c r="AJ95" s="2"/>
      <c r="AW95" s="7"/>
    </row>
    <row r="96" spans="1:49" x14ac:dyDescent="0.25">
      <c r="A96" s="1"/>
      <c r="B96" s="2">
        <f t="shared" si="57"/>
        <v>0</v>
      </c>
      <c r="D96" s="61">
        <f t="shared" si="78"/>
        <v>10</v>
      </c>
      <c r="F96" s="9" t="s">
        <v>88</v>
      </c>
      <c r="G96" s="10">
        <v>2</v>
      </c>
      <c r="H96" s="10">
        <v>3</v>
      </c>
      <c r="I96" s="9" t="s">
        <v>86</v>
      </c>
      <c r="J96" s="6"/>
      <c r="K96" s="61">
        <f t="shared" si="79"/>
        <v>11</v>
      </c>
      <c r="M96" s="2">
        <f t="shared" si="77"/>
        <v>3</v>
      </c>
      <c r="O96" s="2" t="str">
        <f t="shared" si="59"/>
        <v>P</v>
      </c>
      <c r="P96" s="2" t="str">
        <f t="shared" si="60"/>
        <v>G</v>
      </c>
      <c r="S96" s="2" t="str">
        <f t="shared" si="80"/>
        <v>Hertha BSC1899 Hoffenheim</v>
      </c>
      <c r="T96" s="2" t="str">
        <f t="shared" si="81"/>
        <v>2-3</v>
      </c>
      <c r="V96" s="2" t="str">
        <f t="shared" si="73"/>
        <v>Fortuna Düsseldorf</v>
      </c>
      <c r="W96" s="2">
        <f t="shared" si="71"/>
        <v>11</v>
      </c>
      <c r="Y96" s="19">
        <f>RANK(AI96,$AI$85:$AI$102,0)+COUNTIF($AI$84:AI95,AI96)</f>
        <v>11</v>
      </c>
      <c r="Z96" s="19" t="str">
        <f t="shared" si="72"/>
        <v>Fortuna Düsseldorf</v>
      </c>
      <c r="AA96" s="19">
        <f>COUNTIFS(F4:F45,Z96,G4:G45,"&gt;=0")+COUNTIFS(I4:I45,Z96,H4:H45,"&gt;=0")</f>
        <v>4</v>
      </c>
      <c r="AB96" s="19">
        <f>COUNTIFS(F4:F45,Z96,B4:B45,3)+COUNTIFS(I4:I45,Z96,M4:M45,3)</f>
        <v>1</v>
      </c>
      <c r="AC96" s="19">
        <f>COUNTIFS(F4:F45,Z96,B4:B45,1)+COUNTIFS(I4:I45,Z96,M4:M45,1)</f>
        <v>1</v>
      </c>
      <c r="AD96" s="19">
        <f>COUNTIFS(F4:F45,Z96,B4:B45,0)+COUNTIFS(I4:I45,Z96,M4:M45,0)</f>
        <v>2</v>
      </c>
      <c r="AE96" s="19">
        <f>SUMIF(F4:F45,Z96,G4:G45)+SUMIF(I4:I45,Z96,H4:H45)</f>
        <v>6</v>
      </c>
      <c r="AF96" s="19">
        <f>SUMIF(F4:F45,Z96,H4:H45)+SUMIF(I4:I45,Z96,G4:G45)</f>
        <v>7</v>
      </c>
      <c r="AG96" s="19">
        <f t="shared" si="75"/>
        <v>-1</v>
      </c>
      <c r="AH96" s="19">
        <f t="shared" si="76"/>
        <v>4</v>
      </c>
      <c r="AI96" s="19">
        <f t="shared" si="74"/>
        <v>3999.9959999999996</v>
      </c>
      <c r="AJ96" s="2"/>
      <c r="AW96" s="7"/>
    </row>
    <row r="97" spans="1:49" x14ac:dyDescent="0.25">
      <c r="A97" s="1"/>
      <c r="B97" s="2">
        <f t="shared" si="57"/>
        <v>3</v>
      </c>
      <c r="D97" s="61">
        <f t="shared" si="78"/>
        <v>17</v>
      </c>
      <c r="F97" s="9" t="s">
        <v>90</v>
      </c>
      <c r="G97" s="10">
        <v>3</v>
      </c>
      <c r="H97" s="10">
        <v>1</v>
      </c>
      <c r="I97" s="9" t="s">
        <v>161</v>
      </c>
      <c r="J97" s="6"/>
      <c r="K97" s="61">
        <f t="shared" si="79"/>
        <v>15</v>
      </c>
      <c r="M97" s="2">
        <f t="shared" si="77"/>
        <v>0</v>
      </c>
      <c r="O97" s="2" t="str">
        <f t="shared" si="59"/>
        <v>G</v>
      </c>
      <c r="P97" s="2" t="str">
        <f t="shared" si="60"/>
        <v>P</v>
      </c>
      <c r="S97" s="2" t="str">
        <f t="shared" si="80"/>
        <v>1. FSV Mainz 051. FC Köln</v>
      </c>
      <c r="T97" s="2" t="str">
        <f t="shared" si="81"/>
        <v>3-1</v>
      </c>
      <c r="V97" s="2" t="str">
        <f t="shared" si="73"/>
        <v>Hertha BSC</v>
      </c>
      <c r="W97" s="2">
        <f t="shared" si="71"/>
        <v>18</v>
      </c>
      <c r="Y97" s="19">
        <f>RANK(AI97,$AI$85:$AI$102,0)+COUNTIF($AI$84:AI96,AI97)</f>
        <v>18</v>
      </c>
      <c r="Z97" s="19" t="str">
        <f t="shared" si="72"/>
        <v>Hertha BSC</v>
      </c>
      <c r="AA97" s="19">
        <f>COUNTIFS(F4:F45,Z97,G4:G45,"&gt;=0")+COUNTIFS(I4:I45,Z97,H4:H45,"&gt;=0")</f>
        <v>4</v>
      </c>
      <c r="AB97" s="19">
        <f>COUNTIFS(F4:F45,Z97,B4:B45,3)+COUNTIFS(I4:I45,Z97,M4:M45,3)</f>
        <v>0</v>
      </c>
      <c r="AC97" s="19">
        <f>COUNTIFS(F4:F45,Z97,B4:B45,1)+COUNTIFS(I4:I45,Z97,M4:M45,1)</f>
        <v>1</v>
      </c>
      <c r="AD97" s="19">
        <f>COUNTIFS(F4:F45,Z97,B4:B45,0)+COUNTIFS(I4:I45,Z97,M4:M45,0)</f>
        <v>3</v>
      </c>
      <c r="AE97" s="19">
        <f>SUMIF(F4:F45,Z97,G4:G45)+SUMIF(I4:I45,Z97,H4:H45)</f>
        <v>3</v>
      </c>
      <c r="AF97" s="19">
        <f>SUMIF(F4:F45,Z97,H4:H45)+SUMIF(I4:I45,Z97,G4:G45)</f>
        <v>10</v>
      </c>
      <c r="AG97" s="19">
        <f t="shared" si="75"/>
        <v>-7</v>
      </c>
      <c r="AH97" s="19">
        <f t="shared" si="76"/>
        <v>1</v>
      </c>
      <c r="AI97" s="19">
        <f t="shared" si="74"/>
        <v>999.93299999999999</v>
      </c>
      <c r="AJ97" s="2"/>
      <c r="AW97" s="7"/>
    </row>
    <row r="98" spans="1:49" x14ac:dyDescent="0.25">
      <c r="A98" s="1"/>
      <c r="B98" s="2">
        <f t="shared" si="57"/>
        <v>3</v>
      </c>
      <c r="D98" s="61">
        <f t="shared" si="78"/>
        <v>6</v>
      </c>
      <c r="F98" s="9" t="s">
        <v>91</v>
      </c>
      <c r="G98" s="10">
        <v>2</v>
      </c>
      <c r="H98" s="10">
        <v>1</v>
      </c>
      <c r="I98" s="9" t="s">
        <v>81</v>
      </c>
      <c r="J98" s="6"/>
      <c r="K98" s="61">
        <f t="shared" si="79"/>
        <v>5</v>
      </c>
      <c r="M98" s="2">
        <f t="shared" si="77"/>
        <v>0</v>
      </c>
      <c r="O98" s="2" t="str">
        <f t="shared" si="59"/>
        <v>G</v>
      </c>
      <c r="P98" s="2" t="str">
        <f t="shared" si="60"/>
        <v>P</v>
      </c>
      <c r="S98" s="2" t="str">
        <f t="shared" si="80"/>
        <v>SC FreiburgRB Leipzig</v>
      </c>
      <c r="T98" s="2" t="str">
        <f t="shared" si="81"/>
        <v>2-1</v>
      </c>
      <c r="V98" s="2" t="str">
        <f t="shared" si="73"/>
        <v>RB Leipzig</v>
      </c>
      <c r="W98" s="2">
        <f t="shared" si="71"/>
        <v>1</v>
      </c>
      <c r="Y98" s="19">
        <f>RANK(AI98,$AI$85:$AI$102,0)+COUNTIF($AI$84:AI97,AI98)</f>
        <v>1</v>
      </c>
      <c r="Z98" s="19" t="str">
        <f t="shared" si="72"/>
        <v>RB Leipzig</v>
      </c>
      <c r="AA98" s="19">
        <f>COUNTIFS(F4:F45,Z98,G4:G45,"&gt;=0")+COUNTIFS(I4:I45,Z98,H4:H45,"&gt;=0")</f>
        <v>4</v>
      </c>
      <c r="AB98" s="19">
        <f>COUNTIFS(F4:F45,Z98,B4:B45,3)+COUNTIFS(I4:I45,Z98,M4:M45,3)</f>
        <v>3</v>
      </c>
      <c r="AC98" s="19">
        <f>COUNTIFS(F4:F45,Z98,B4:B45,1)+COUNTIFS(I4:I45,Z98,M4:M45,1)</f>
        <v>1</v>
      </c>
      <c r="AD98" s="19">
        <f>COUNTIFS(F4:F45,Z98,B4:B45,0)+COUNTIFS(I4:I45,Z98,M4:M45,0)</f>
        <v>0</v>
      </c>
      <c r="AE98" s="19">
        <f>SUMIF(F4:F45,Z98,G4:G45)+SUMIF(I4:I45,Z98,H4:H45)</f>
        <v>10</v>
      </c>
      <c r="AF98" s="19">
        <f>SUMIF(F4:F45,Z98,H4:H45)+SUMIF(I4:I45,Z98,G4:G45)</f>
        <v>3</v>
      </c>
      <c r="AG98" s="19">
        <f t="shared" si="75"/>
        <v>7</v>
      </c>
      <c r="AH98" s="19">
        <f t="shared" si="76"/>
        <v>10</v>
      </c>
      <c r="AI98" s="19">
        <f t="shared" si="74"/>
        <v>10000.08</v>
      </c>
      <c r="AJ98" s="2"/>
      <c r="AW98" s="7"/>
    </row>
    <row r="99" spans="1:49" x14ac:dyDescent="0.25">
      <c r="A99" s="1"/>
      <c r="B99" s="2">
        <f t="shared" si="57"/>
        <v>1</v>
      </c>
      <c r="D99" s="61">
        <f t="shared" si="78"/>
        <v>7</v>
      </c>
      <c r="F99" s="9" t="s">
        <v>93</v>
      </c>
      <c r="G99" s="10">
        <v>0</v>
      </c>
      <c r="H99" s="10">
        <v>0</v>
      </c>
      <c r="I99" s="9" t="s">
        <v>80</v>
      </c>
      <c r="J99" s="6"/>
      <c r="K99" s="61">
        <f t="shared" si="79"/>
        <v>4</v>
      </c>
      <c r="M99" s="2">
        <f t="shared" si="77"/>
        <v>1</v>
      </c>
      <c r="O99" s="2" t="str">
        <f t="shared" si="59"/>
        <v>N</v>
      </c>
      <c r="P99" s="2" t="str">
        <f t="shared" si="60"/>
        <v>N</v>
      </c>
      <c r="S99" s="2" t="str">
        <f t="shared" si="80"/>
        <v>FC Schalke 04Borussia Dortmund</v>
      </c>
      <c r="T99" s="2" t="str">
        <f t="shared" si="81"/>
        <v>0-0</v>
      </c>
      <c r="V99" s="2" t="str">
        <f t="shared" si="73"/>
        <v>SC Freiburg</v>
      </c>
      <c r="W99" s="2">
        <f t="shared" si="71"/>
        <v>3</v>
      </c>
      <c r="Y99" s="19">
        <f>RANK(AI99,$AI$85:$AI$102,0)+COUNTIF($AI$84:AI98,AI99)</f>
        <v>3</v>
      </c>
      <c r="Z99" s="19" t="str">
        <f t="shared" si="72"/>
        <v>SC Freiburg</v>
      </c>
      <c r="AA99" s="19">
        <f>COUNTIFS(F4:F45,Z99,G4:G45,"&gt;=0")+COUNTIFS(I4:I45,Z99,H4:H45,"&gt;=0")</f>
        <v>4</v>
      </c>
      <c r="AB99" s="19">
        <f>COUNTIFS(F4:F45,Z99,B4:B45,3)+COUNTIFS(I4:I45,Z99,M4:M45,3)</f>
        <v>3</v>
      </c>
      <c r="AC99" s="19">
        <f>COUNTIFS(F4:F45,Z99,B4:B45,1)+COUNTIFS(I4:I45,Z99,M4:M45,1)</f>
        <v>0</v>
      </c>
      <c r="AD99" s="19">
        <f>COUNTIFS(F4:F45,Z99,B4:B45,0)+COUNTIFS(I4:I45,Z99,M4:M45,0)</f>
        <v>1</v>
      </c>
      <c r="AE99" s="19">
        <f>SUMIF(F4:F45,Z99,G4:G45)+SUMIF(I4:I45,Z99,H4:H45)</f>
        <v>10</v>
      </c>
      <c r="AF99" s="19">
        <f>SUMIF(F4:F45,Z99,H4:H45)+SUMIF(I4:I45,Z99,G4:G45)</f>
        <v>3</v>
      </c>
      <c r="AG99" s="19">
        <f t="shared" si="75"/>
        <v>7</v>
      </c>
      <c r="AH99" s="19">
        <f t="shared" si="76"/>
        <v>9</v>
      </c>
      <c r="AI99" s="19">
        <f t="shared" si="74"/>
        <v>9000.08</v>
      </c>
      <c r="AJ99" s="2"/>
      <c r="AW99" s="7"/>
    </row>
    <row r="100" spans="1:49" x14ac:dyDescent="0.25">
      <c r="A100" s="1"/>
      <c r="B100" s="2">
        <f t="shared" si="57"/>
        <v>3</v>
      </c>
      <c r="D100" s="61">
        <f t="shared" si="78"/>
        <v>18</v>
      </c>
      <c r="F100" s="9" t="s">
        <v>148</v>
      </c>
      <c r="G100" s="10">
        <v>2</v>
      </c>
      <c r="H100" s="10">
        <v>0</v>
      </c>
      <c r="I100" s="9" t="s">
        <v>89</v>
      </c>
      <c r="J100" s="6"/>
      <c r="K100" s="61">
        <f t="shared" si="79"/>
        <v>13</v>
      </c>
      <c r="M100" s="2">
        <f t="shared" si="77"/>
        <v>0</v>
      </c>
      <c r="O100" s="2" t="str">
        <f t="shared" si="59"/>
        <v>G</v>
      </c>
      <c r="P100" s="2" t="str">
        <f t="shared" si="60"/>
        <v>P</v>
      </c>
      <c r="S100" s="2" t="str">
        <f t="shared" si="80"/>
        <v>SC Paderborn 07Fortuna Düsseldorf</v>
      </c>
      <c r="T100" s="2" t="str">
        <f t="shared" si="81"/>
        <v>2-0</v>
      </c>
      <c r="V100" s="2" t="str">
        <f t="shared" si="73"/>
        <v>SC Paderborn 07</v>
      </c>
      <c r="W100" s="2">
        <f t="shared" si="71"/>
        <v>17</v>
      </c>
      <c r="Y100" s="19">
        <f>RANK(AI100,$AI$85:$AI$102,0)+COUNTIF($AI$84:AI99,AI100)</f>
        <v>17</v>
      </c>
      <c r="Z100" s="19" t="str">
        <f t="shared" si="72"/>
        <v>SC Paderborn 07</v>
      </c>
      <c r="AA100" s="19">
        <f>COUNTIFS(F4:F45,Z100,G4:G45,"&gt;=0")+COUNTIFS(I4:I45,Z100,H4:H45,"&gt;=0")</f>
        <v>4</v>
      </c>
      <c r="AB100" s="19">
        <f>COUNTIFS(F4:F45,Z100,B4:B45,3)+COUNTIFS(I4:I45,Z100,M4:M45,3)</f>
        <v>0</v>
      </c>
      <c r="AC100" s="19">
        <f>COUNTIFS(F4:F45,Z100,B4:B45,1)+COUNTIFS(I4:I45,Z100,M4:M45,1)</f>
        <v>1</v>
      </c>
      <c r="AD100" s="19">
        <f>COUNTIFS(F4:F45,Z100,B4:B45,0)+COUNTIFS(I4:I45,Z100,M4:M45,0)</f>
        <v>3</v>
      </c>
      <c r="AE100" s="19">
        <f>SUMIF(F4:F45,Z100,G4:G45)+SUMIF(I4:I45,Z100,H4:H45)</f>
        <v>5</v>
      </c>
      <c r="AF100" s="19">
        <f>SUMIF(F4:F45,Z100,H4:H45)+SUMIF(I4:I45,Z100,G4:G45)</f>
        <v>12</v>
      </c>
      <c r="AG100" s="19">
        <f t="shared" si="75"/>
        <v>-7</v>
      </c>
      <c r="AH100" s="19">
        <f t="shared" si="76"/>
        <v>1</v>
      </c>
      <c r="AI100" s="19">
        <f t="shared" si="74"/>
        <v>999.93499999999995</v>
      </c>
      <c r="AJ100" s="2"/>
      <c r="AW100" s="7"/>
    </row>
    <row r="101" spans="1:49" x14ac:dyDescent="0.25">
      <c r="A101" s="1"/>
      <c r="F101" s="107"/>
      <c r="G101" s="108"/>
      <c r="H101" s="108"/>
      <c r="I101" s="107"/>
      <c r="J101" s="6"/>
      <c r="O101" s="2" t="str">
        <f t="shared" si="59"/>
        <v/>
      </c>
      <c r="P101" s="2" t="str">
        <f t="shared" si="60"/>
        <v/>
      </c>
      <c r="V101" s="2" t="str">
        <f t="shared" si="73"/>
        <v>VfL Wolfsburg</v>
      </c>
      <c r="W101" s="2">
        <f t="shared" si="71"/>
        <v>5</v>
      </c>
      <c r="Y101" s="19">
        <f>RANK(AI101,$AI$85:$AI$102,0)+COUNTIF($AI$84:AI100,AI101)</f>
        <v>5</v>
      </c>
      <c r="Z101" s="19" t="str">
        <f t="shared" si="72"/>
        <v>VfL Wolfsburg</v>
      </c>
      <c r="AA101" s="19">
        <f>COUNTIFS(F4:F45,Z101,G4:G45,"&gt;=0")+COUNTIFS(I4:I45,Z101,H4:H45,"&gt;=0")</f>
        <v>4</v>
      </c>
      <c r="AB101" s="19">
        <f>COUNTIFS(F4:F45,Z101,B4:B45,3)+COUNTIFS(I4:I45,Z101,M4:M45,3)</f>
        <v>2</v>
      </c>
      <c r="AC101" s="19">
        <f>COUNTIFS(F4:F45,Z101,B4:B45,1)+COUNTIFS(I4:I45,Z101,M4:M45,1)</f>
        <v>2</v>
      </c>
      <c r="AD101" s="19">
        <f>COUNTIFS(F4:F45,Z101,B4:B45,0)+COUNTIFS(I4:I45,Z101,M4:M45,0)</f>
        <v>0</v>
      </c>
      <c r="AE101" s="19">
        <f>SUMIF(F4:F45,Z101,G4:G45)+SUMIF(I4:I45,Z101,H4:H45)</f>
        <v>7</v>
      </c>
      <c r="AF101" s="19">
        <f>SUMIF(F4:F45,Z101,H4:H45)+SUMIF(I4:I45,Z101,G4:G45)</f>
        <v>3</v>
      </c>
      <c r="AG101" s="19">
        <f t="shared" si="75"/>
        <v>4</v>
      </c>
      <c r="AH101" s="19">
        <f t="shared" si="76"/>
        <v>8</v>
      </c>
      <c r="AI101" s="19">
        <f t="shared" si="74"/>
        <v>8000.0469999999996</v>
      </c>
      <c r="AJ101" s="2"/>
      <c r="AW101" s="7"/>
    </row>
    <row r="102" spans="1:49" x14ac:dyDescent="0.25">
      <c r="A102" s="1"/>
      <c r="B102" s="2" t="str">
        <f t="shared" si="57"/>
        <v/>
      </c>
      <c r="F102" s="154" t="s">
        <v>49</v>
      </c>
      <c r="G102" s="154"/>
      <c r="H102" s="154"/>
      <c r="I102" s="154"/>
      <c r="J102" s="6"/>
      <c r="M102" s="2" t="str">
        <f t="shared" ref="M102:M111" si="82">IF(H102="","",IF(H102&gt;G102,3,IF(H102=G102,1,0)))</f>
        <v/>
      </c>
      <c r="O102" s="2" t="str">
        <f t="shared" si="59"/>
        <v/>
      </c>
      <c r="P102" s="2" t="str">
        <f t="shared" si="60"/>
        <v/>
      </c>
      <c r="V102" s="2" t="str">
        <f t="shared" si="73"/>
        <v>Werder Bremen</v>
      </c>
      <c r="W102" s="2">
        <f t="shared" si="71"/>
        <v>10</v>
      </c>
      <c r="Y102" s="19">
        <f>RANK(AI102,$AI$85:$AI$102,0)+COUNTIF($AI$84:AI101,AI102)</f>
        <v>10</v>
      </c>
      <c r="Z102" s="19" t="str">
        <f t="shared" si="72"/>
        <v>Werder Bremen</v>
      </c>
      <c r="AA102" s="19">
        <f>COUNTIFS(F4:F45,Z102,G4:G45,"&gt;=0")+COUNTIFS(I4:I45,Z102,H4:H45,"&gt;=0")</f>
        <v>4</v>
      </c>
      <c r="AB102" s="19">
        <f>COUNTIFS(F4:F45,Z102,B4:B45,3)+COUNTIFS(I4:I45,Z102,M4:M45,3)</f>
        <v>2</v>
      </c>
      <c r="AC102" s="19">
        <f>COUNTIFS(F4:F45,Z102,B4:B45,1)+COUNTIFS(I4:I45,Z102,M4:M45,1)</f>
        <v>0</v>
      </c>
      <c r="AD102" s="19">
        <f>COUNTIFS(F4:F45,Z102,B4:B45,0)+COUNTIFS(I4:I45,Z102,M4:M45,0)</f>
        <v>2</v>
      </c>
      <c r="AE102" s="19">
        <f>SUMIF(F4:F45,Z102,G4:G45)+SUMIF(I4:I45,Z102,H4:H45)</f>
        <v>8</v>
      </c>
      <c r="AF102" s="19">
        <f>SUMIF(F4:F45,Z102,H4:H45)+SUMIF(I4:I45,Z102,G4:G45)</f>
        <v>9</v>
      </c>
      <c r="AG102" s="19">
        <f t="shared" si="75"/>
        <v>-1</v>
      </c>
      <c r="AH102" s="19">
        <f t="shared" si="76"/>
        <v>6</v>
      </c>
      <c r="AI102" s="19">
        <f t="shared" si="74"/>
        <v>5999.9979999999996</v>
      </c>
      <c r="AJ102" s="2"/>
      <c r="AW102" s="7"/>
    </row>
    <row r="103" spans="1:49" x14ac:dyDescent="0.25">
      <c r="A103" s="1"/>
      <c r="B103" s="2">
        <f t="shared" si="57"/>
        <v>3</v>
      </c>
      <c r="D103" s="61">
        <f t="shared" ref="D103:D111" si="83">IFERROR(VLOOKUP(F103,$V$185:$W$202,2,FALSE),"")</f>
        <v>5</v>
      </c>
      <c r="F103" s="9" t="s">
        <v>80</v>
      </c>
      <c r="G103" s="10">
        <v>3</v>
      </c>
      <c r="H103" s="10">
        <v>0</v>
      </c>
      <c r="I103" s="9" t="s">
        <v>85</v>
      </c>
      <c r="J103" s="6"/>
      <c r="K103" s="61">
        <f t="shared" ref="K103:K111" si="84">IFERROR(VLOOKUP(I103,$V$185:$W$202,2,FALSE),"")</f>
        <v>4</v>
      </c>
      <c r="M103" s="2">
        <f t="shared" si="82"/>
        <v>0</v>
      </c>
      <c r="O103" s="2" t="str">
        <f t="shared" si="59"/>
        <v>G</v>
      </c>
      <c r="P103" s="2" t="str">
        <f t="shared" si="60"/>
        <v>P</v>
      </c>
      <c r="S103" s="2" t="str">
        <f t="shared" ref="S103:S111" si="85">IF(M103&lt;&gt;"",F103&amp;I103,"")</f>
        <v>Borussia DortmundVfL Wolfsburg</v>
      </c>
      <c r="T103" s="2" t="str">
        <f t="shared" ref="T103:T111" si="86">IF(S103&lt;&gt;"",G103&amp;"-"&amp;H103,"")</f>
        <v>3-0</v>
      </c>
      <c r="AJ103" s="2"/>
      <c r="AW103" s="7"/>
    </row>
    <row r="104" spans="1:49" x14ac:dyDescent="0.25">
      <c r="A104" s="1"/>
      <c r="B104" s="2">
        <f t="shared" si="57"/>
        <v>3</v>
      </c>
      <c r="D104" s="61">
        <f t="shared" si="83"/>
        <v>6</v>
      </c>
      <c r="F104" s="9" t="s">
        <v>81</v>
      </c>
      <c r="G104" s="10">
        <v>8</v>
      </c>
      <c r="H104" s="10">
        <v>0</v>
      </c>
      <c r="I104" s="9" t="s">
        <v>90</v>
      </c>
      <c r="J104" s="6"/>
      <c r="K104" s="61">
        <f t="shared" si="84"/>
        <v>13</v>
      </c>
      <c r="M104" s="2">
        <f t="shared" si="82"/>
        <v>0</v>
      </c>
      <c r="O104" s="2" t="str">
        <f t="shared" si="59"/>
        <v>G</v>
      </c>
      <c r="P104" s="2" t="str">
        <f t="shared" si="60"/>
        <v>P</v>
      </c>
      <c r="S104" s="2" t="str">
        <f t="shared" si="85"/>
        <v>RB Leipzig1. FSV Mainz 05</v>
      </c>
      <c r="T104" s="2" t="str">
        <f t="shared" si="86"/>
        <v>8-0</v>
      </c>
      <c r="W104" s="18">
        <v>5</v>
      </c>
      <c r="Y104" s="19"/>
      <c r="Z104" s="19" t="s">
        <v>1</v>
      </c>
      <c r="AA104" s="19" t="s">
        <v>2</v>
      </c>
      <c r="AB104" s="19" t="s">
        <v>3</v>
      </c>
      <c r="AC104" s="19" t="s">
        <v>4</v>
      </c>
      <c r="AD104" s="19" t="s">
        <v>5</v>
      </c>
      <c r="AE104" s="19" t="s">
        <v>6</v>
      </c>
      <c r="AF104" s="19" t="s">
        <v>7</v>
      </c>
      <c r="AG104" s="19" t="s">
        <v>8</v>
      </c>
      <c r="AH104" s="19" t="s">
        <v>9</v>
      </c>
      <c r="AI104" s="19" t="s">
        <v>0</v>
      </c>
      <c r="AJ104" s="2"/>
      <c r="AW104" s="7"/>
    </row>
    <row r="105" spans="1:49" x14ac:dyDescent="0.25">
      <c r="A105" s="1"/>
      <c r="B105" s="2">
        <f t="shared" si="57"/>
        <v>0</v>
      </c>
      <c r="D105" s="61">
        <f t="shared" si="83"/>
        <v>8</v>
      </c>
      <c r="F105" s="9" t="s">
        <v>83</v>
      </c>
      <c r="G105" s="10">
        <v>1</v>
      </c>
      <c r="H105" s="10">
        <v>2</v>
      </c>
      <c r="I105" s="9" t="s">
        <v>82</v>
      </c>
      <c r="J105" s="6"/>
      <c r="K105" s="61">
        <f t="shared" si="84"/>
        <v>1</v>
      </c>
      <c r="M105" s="2">
        <f t="shared" si="82"/>
        <v>3</v>
      </c>
      <c r="O105" s="2" t="str">
        <f t="shared" si="59"/>
        <v>P</v>
      </c>
      <c r="P105" s="2" t="str">
        <f t="shared" si="60"/>
        <v>G</v>
      </c>
      <c r="S105" s="2" t="str">
        <f t="shared" si="85"/>
        <v>Bayer LeverkusenBor. Mönchengladbach</v>
      </c>
      <c r="T105" s="2" t="str">
        <f t="shared" si="86"/>
        <v>1-2</v>
      </c>
      <c r="V105" s="2" t="str">
        <f>CONCATENATE(Z105)</f>
        <v>1. FC Köln</v>
      </c>
      <c r="W105" s="2">
        <f t="shared" ref="W105:W122" si="87">Y105</f>
        <v>16</v>
      </c>
      <c r="Y105" s="19">
        <f>RANK(AI105,$AI$105:$AI$122,0)+COUNTIF($AI$104:AI104,AI105)</f>
        <v>16</v>
      </c>
      <c r="Z105" s="19" t="str">
        <f t="shared" ref="Z105:Z122" si="88">CONCATENATE(Z5)</f>
        <v>1. FC Köln</v>
      </c>
      <c r="AA105" s="19">
        <f>COUNTIFS(F4:F56,Z105,G4:G56,"&gt;=0")+COUNTIFS(I4:I56,Z105,H4:H56,"&gt;=0")</f>
        <v>5</v>
      </c>
      <c r="AB105" s="19">
        <f>COUNTIFS(F4:F56,Z105,B4:B56,3)+COUNTIFS(I4:I56,Z105,M4:M56,3)</f>
        <v>1</v>
      </c>
      <c r="AC105" s="19">
        <f>COUNTIFS(F4:F56,Z105,B4:B56,1)+COUNTIFS(I4:I56,Z105,M4:M56,1)</f>
        <v>0</v>
      </c>
      <c r="AD105" s="19">
        <f>COUNTIFS(F4:F56,Z105,B4:B56,0)+COUNTIFS(I4:I56,Z105,M4:M56,0)</f>
        <v>4</v>
      </c>
      <c r="AE105" s="19">
        <f>SUMIF(F4:F56,Z105,G4:G56)+SUMIF(I4:I56,Z105,H4:H56)</f>
        <v>4</v>
      </c>
      <c r="AF105" s="19">
        <f>SUMIF(F4:F56,Z105,H4:H56)+SUMIF(I4:I56,Z105,G4:G56)</f>
        <v>11</v>
      </c>
      <c r="AG105" s="19">
        <f>+AE105-AF105</f>
        <v>-7</v>
      </c>
      <c r="AH105" s="19">
        <f>(AB105*3)+AC105</f>
        <v>3</v>
      </c>
      <c r="AI105" s="19">
        <f>SUM(AH105*1000+(AG105)/100+(AE105)/1000)</f>
        <v>2999.9339999999997</v>
      </c>
      <c r="AJ105" s="2"/>
      <c r="AW105" s="7"/>
    </row>
    <row r="106" spans="1:49" x14ac:dyDescent="0.25">
      <c r="A106" s="1"/>
      <c r="B106" s="2">
        <f t="shared" si="57"/>
        <v>3</v>
      </c>
      <c r="D106" s="61">
        <f t="shared" si="83"/>
        <v>9</v>
      </c>
      <c r="F106" s="9" t="s">
        <v>84</v>
      </c>
      <c r="G106" s="10">
        <v>5</v>
      </c>
      <c r="H106" s="10">
        <v>1</v>
      </c>
      <c r="I106" s="9" t="s">
        <v>79</v>
      </c>
      <c r="J106" s="6"/>
      <c r="K106" s="61">
        <f t="shared" si="84"/>
        <v>2</v>
      </c>
      <c r="M106" s="2">
        <f t="shared" si="82"/>
        <v>0</v>
      </c>
      <c r="O106" s="2" t="str">
        <f t="shared" si="59"/>
        <v>G</v>
      </c>
      <c r="P106" s="2" t="str">
        <f t="shared" si="60"/>
        <v>P</v>
      </c>
      <c r="S106" s="2" t="str">
        <f t="shared" si="85"/>
        <v>Eintracht FrankfurtBayern München</v>
      </c>
      <c r="T106" s="2" t="str">
        <f t="shared" si="86"/>
        <v>5-1</v>
      </c>
      <c r="V106" s="2" t="str">
        <f t="shared" ref="V106:V122" si="89">CONCATENATE(Z106)</f>
        <v>1. FC Union Berlin</v>
      </c>
      <c r="W106" s="2">
        <f t="shared" si="87"/>
        <v>14</v>
      </c>
      <c r="Y106" s="19">
        <f>RANK(AI106,$AI$105:$AI$122,0)+COUNTIF($AI$104:AI105,AI106)</f>
        <v>14</v>
      </c>
      <c r="Z106" s="19" t="str">
        <f t="shared" si="88"/>
        <v>1. FC Union Berlin</v>
      </c>
      <c r="AA106" s="19">
        <f>COUNTIFS(F4:F56,Z106,G4:G56,"&gt;=0")+COUNTIFS(I4:I56,Z106,H4:H56,"&gt;=0")</f>
        <v>5</v>
      </c>
      <c r="AB106" s="19">
        <f>COUNTIFS(F4:F56,Z106,B4:B56,3)+COUNTIFS(I4:I56,Z106,M4:M56,3)</f>
        <v>1</v>
      </c>
      <c r="AC106" s="19">
        <f>COUNTIFS(F4:F56,Z106,B4:B56,1)+COUNTIFS(I4:I56,Z106,M4:M56,1)</f>
        <v>1</v>
      </c>
      <c r="AD106" s="19">
        <f>COUNTIFS(F4:F56,Z106,B4:B56,0)+COUNTIFS(I4:I56,Z106,M4:M56,0)</f>
        <v>3</v>
      </c>
      <c r="AE106" s="19">
        <f>SUMIF(F4:F56,Z106,G4:G56)+SUMIF(I4:I56,Z106,H4:H56)</f>
        <v>5</v>
      </c>
      <c r="AF106" s="19">
        <f>SUMIF(F4:F56,Z106,H4:H56)+SUMIF(I4:I56,Z106,G4:G56)</f>
        <v>10</v>
      </c>
      <c r="AG106" s="19">
        <f>+AE106-AF106</f>
        <v>-5</v>
      </c>
      <c r="AH106" s="19">
        <f>(AB106*3)+AC106</f>
        <v>4</v>
      </c>
      <c r="AI106" s="19">
        <f t="shared" ref="AI106:AI122" si="90">SUM(AH106*1000+(AG106)/100+(AE106)/1000)</f>
        <v>3999.9549999999999</v>
      </c>
      <c r="AJ106" s="2"/>
      <c r="AW106" s="7"/>
    </row>
    <row r="107" spans="1:49" x14ac:dyDescent="0.25">
      <c r="A107" s="1"/>
      <c r="B107" s="2">
        <f t="shared" si="57"/>
        <v>1</v>
      </c>
      <c r="D107" s="61">
        <f t="shared" si="83"/>
        <v>12</v>
      </c>
      <c r="F107" s="9" t="s">
        <v>87</v>
      </c>
      <c r="G107" s="10">
        <v>2</v>
      </c>
      <c r="H107" s="10">
        <v>2</v>
      </c>
      <c r="I107" s="9" t="s">
        <v>91</v>
      </c>
      <c r="J107" s="6"/>
      <c r="K107" s="61">
        <f t="shared" si="84"/>
        <v>3</v>
      </c>
      <c r="M107" s="2">
        <f t="shared" si="82"/>
        <v>1</v>
      </c>
      <c r="O107" s="2" t="str">
        <f t="shared" si="59"/>
        <v>N</v>
      </c>
      <c r="P107" s="2" t="str">
        <f t="shared" si="60"/>
        <v>N</v>
      </c>
      <c r="S107" s="2" t="str">
        <f t="shared" si="85"/>
        <v>Werder BremenSC Freiburg</v>
      </c>
      <c r="T107" s="2" t="str">
        <f t="shared" si="86"/>
        <v>2-2</v>
      </c>
      <c r="V107" s="2" t="str">
        <f t="shared" si="89"/>
        <v>1. FSV Mainz 05</v>
      </c>
      <c r="W107" s="2">
        <f t="shared" si="87"/>
        <v>17</v>
      </c>
      <c r="Y107" s="19">
        <f>RANK(AI107,$AI$105:$AI$122,0)+COUNTIF($AI$104:AI106,AI107)</f>
        <v>17</v>
      </c>
      <c r="Z107" s="19" t="str">
        <f t="shared" si="88"/>
        <v>1. FSV Mainz 05</v>
      </c>
      <c r="AA107" s="19">
        <f>COUNTIFS(F4:F56,Z107,G4:G56,"&gt;=0")+COUNTIFS(I4:I56,Z107,H4:H56,"&gt;=0")</f>
        <v>5</v>
      </c>
      <c r="AB107" s="19">
        <f>COUNTIFS(F4:F56,Z107,B4:B56,3)+COUNTIFS(I4:I56,Z107,M4:M56,3)</f>
        <v>1</v>
      </c>
      <c r="AC107" s="19">
        <f>COUNTIFS(F4:F56,Z107,B4:B56,1)+COUNTIFS(I4:I56,Z107,M4:M56,1)</f>
        <v>0</v>
      </c>
      <c r="AD107" s="19">
        <f>COUNTIFS(F4:F56,Z107,B4:B56,0)+COUNTIFS(I4:I56,Z107,M4:M56,0)</f>
        <v>4</v>
      </c>
      <c r="AE107" s="19">
        <f>SUMIF(F4:F56,Z107,G4:G56)+SUMIF(I4:I56,Z107,H4:H56)</f>
        <v>5</v>
      </c>
      <c r="AF107" s="19">
        <f>SUMIF(F4:F56,Z107,H4:H56)+SUMIF(I4:I56,Z107,G4:G56)</f>
        <v>15</v>
      </c>
      <c r="AG107" s="19">
        <f>+AE107-AF107</f>
        <v>-10</v>
      </c>
      <c r="AH107" s="19">
        <f>(AB107*3)+AC107</f>
        <v>3</v>
      </c>
      <c r="AI107" s="19">
        <f t="shared" si="90"/>
        <v>2999.9050000000002</v>
      </c>
      <c r="AJ107" s="2"/>
      <c r="AW107" s="7"/>
    </row>
    <row r="108" spans="1:49" x14ac:dyDescent="0.25">
      <c r="A108" s="1"/>
      <c r="B108" s="2">
        <f t="shared" si="57"/>
        <v>3</v>
      </c>
      <c r="D108" s="61">
        <f t="shared" si="83"/>
        <v>10</v>
      </c>
      <c r="F108" s="9" t="s">
        <v>86</v>
      </c>
      <c r="G108" s="10">
        <v>3</v>
      </c>
      <c r="H108" s="10">
        <v>0</v>
      </c>
      <c r="I108" s="9" t="s">
        <v>148</v>
      </c>
      <c r="J108" s="6"/>
      <c r="K108" s="61">
        <f t="shared" si="84"/>
        <v>18</v>
      </c>
      <c r="M108" s="2">
        <f t="shared" si="82"/>
        <v>0</v>
      </c>
      <c r="O108" s="2" t="str">
        <f t="shared" si="59"/>
        <v>G</v>
      </c>
      <c r="P108" s="2" t="str">
        <f t="shared" si="60"/>
        <v>P</v>
      </c>
      <c r="S108" s="2" t="str">
        <f t="shared" si="85"/>
        <v>1899 HoffenheimSC Paderborn 07</v>
      </c>
      <c r="T108" s="2" t="str">
        <f t="shared" si="86"/>
        <v>3-0</v>
      </c>
      <c r="V108" s="2" t="str">
        <f t="shared" si="89"/>
        <v>1899 Hoffenheim</v>
      </c>
      <c r="W108" s="2">
        <f t="shared" si="87"/>
        <v>11</v>
      </c>
      <c r="Y108" s="19">
        <f>RANK(AI108,$AI$105:$AI$122,0)+COUNTIF($AI$104:AI107,AI108)</f>
        <v>11</v>
      </c>
      <c r="Z108" s="19" t="str">
        <f t="shared" si="88"/>
        <v>1899 Hoffenheim</v>
      </c>
      <c r="AA108" s="19">
        <f>COUNTIFS(F4:F56,Z108,G4:G56,"&gt;=0")+COUNTIFS(I4:I56,Z108,H4:H56,"&gt;=0")</f>
        <v>5</v>
      </c>
      <c r="AB108" s="19">
        <f>COUNTIFS(F4:F56,Z108,B4:B56,3)+COUNTIFS(I4:I56,Z108,M4:M56,3)</f>
        <v>1</v>
      </c>
      <c r="AC108" s="19">
        <f>COUNTIFS(F4:F56,Z108,B4:B56,1)+COUNTIFS(I4:I56,Z108,M4:M56,1)</f>
        <v>2</v>
      </c>
      <c r="AD108" s="19">
        <f>COUNTIFS(F4:F56,Z108,B4:B56,0)+COUNTIFS(I4:I56,Z108,M4:M56,0)</f>
        <v>2</v>
      </c>
      <c r="AE108" s="19">
        <f>SUMIF(F4:F56,Z108,G4:G56)+SUMIF(I4:I56,Z108,H4:H56)</f>
        <v>4</v>
      </c>
      <c r="AF108" s="19">
        <f>SUMIF(F4:F56,Z108,H4:H56)+SUMIF(I4:I56,Z108,G4:G56)</f>
        <v>7</v>
      </c>
      <c r="AG108" s="19">
        <f t="shared" ref="AG108:AG122" si="91">+AE108-AF108</f>
        <v>-3</v>
      </c>
      <c r="AH108" s="19">
        <f>(AB108*3)+AC108</f>
        <v>5</v>
      </c>
      <c r="AI108" s="19">
        <f t="shared" si="90"/>
        <v>4999.9740000000002</v>
      </c>
      <c r="AJ108" s="2"/>
      <c r="AW108" s="7"/>
    </row>
    <row r="109" spans="1:49" x14ac:dyDescent="0.25">
      <c r="A109" s="1"/>
      <c r="B109" s="2">
        <f t="shared" si="57"/>
        <v>3</v>
      </c>
      <c r="D109" s="61">
        <f t="shared" si="83"/>
        <v>14</v>
      </c>
      <c r="F109" s="9" t="s">
        <v>89</v>
      </c>
      <c r="G109" s="10">
        <v>2</v>
      </c>
      <c r="H109" s="10">
        <v>0</v>
      </c>
      <c r="I109" s="9" t="s">
        <v>161</v>
      </c>
      <c r="J109" s="6"/>
      <c r="K109" s="61">
        <f t="shared" si="84"/>
        <v>16</v>
      </c>
      <c r="M109" s="2">
        <f t="shared" si="82"/>
        <v>0</v>
      </c>
      <c r="O109" s="2" t="str">
        <f t="shared" si="59"/>
        <v>G</v>
      </c>
      <c r="P109" s="2" t="str">
        <f t="shared" si="60"/>
        <v>P</v>
      </c>
      <c r="S109" s="2" t="str">
        <f t="shared" si="85"/>
        <v>Fortuna Düsseldorf1. FC Köln</v>
      </c>
      <c r="T109" s="2" t="str">
        <f t="shared" si="86"/>
        <v>2-0</v>
      </c>
      <c r="V109" s="2" t="str">
        <f t="shared" si="89"/>
        <v>Bayer Leverkusen</v>
      </c>
      <c r="W109" s="2">
        <f t="shared" si="87"/>
        <v>7</v>
      </c>
      <c r="Y109" s="19">
        <f>RANK(AI109,$AI$105:$AI$122,0)+COUNTIF($AI$104:AI108,AI109)</f>
        <v>7</v>
      </c>
      <c r="Z109" s="19" t="str">
        <f t="shared" si="88"/>
        <v>Bayer Leverkusen</v>
      </c>
      <c r="AA109" s="19">
        <f>COUNTIFS(F4:F56,Z109,G4:G56,"&gt;=0")+COUNTIFS(I4:I56,Z109,H4:H56,"&gt;=0")</f>
        <v>5</v>
      </c>
      <c r="AB109" s="19">
        <f>COUNTIFS(F4:F56,Z109,B4:B56,3)+COUNTIFS(I4:I56,Z109,M4:M56,3)</f>
        <v>3</v>
      </c>
      <c r="AC109" s="19">
        <f>COUNTIFS(F4:F56,Z109,B4:B56,1)+COUNTIFS(I4:I56,Z109,M4:M56,1)</f>
        <v>1</v>
      </c>
      <c r="AD109" s="19">
        <f>COUNTIFS(F4:F56,Z109,B4:B56,0)+COUNTIFS(I4:I56,Z109,M4:M56,0)</f>
        <v>1</v>
      </c>
      <c r="AE109" s="19">
        <f>SUMIF(F4:F56,Z109,G4:G56)+SUMIF(I4:I56,Z109,H4:H56)</f>
        <v>8</v>
      </c>
      <c r="AF109" s="19">
        <f>SUMIF(F4:F56,Z109,H4:H56)+SUMIF(I4:I56,Z109,G4:G56)</f>
        <v>7</v>
      </c>
      <c r="AG109" s="19">
        <f t="shared" si="91"/>
        <v>1</v>
      </c>
      <c r="AH109" s="19">
        <f>(AB109*3)+AC109</f>
        <v>10</v>
      </c>
      <c r="AI109" s="19">
        <f t="shared" si="90"/>
        <v>10000.018</v>
      </c>
      <c r="AJ109" s="2"/>
      <c r="AW109" s="7"/>
    </row>
    <row r="110" spans="1:49" x14ac:dyDescent="0.25">
      <c r="A110" s="1"/>
      <c r="B110" s="2">
        <f t="shared" si="57"/>
        <v>0</v>
      </c>
      <c r="D110" s="61">
        <f t="shared" si="83"/>
        <v>17</v>
      </c>
      <c r="F110" s="9" t="s">
        <v>92</v>
      </c>
      <c r="G110" s="10">
        <v>2</v>
      </c>
      <c r="H110" s="10">
        <v>3</v>
      </c>
      <c r="I110" s="9" t="s">
        <v>93</v>
      </c>
      <c r="J110" s="6"/>
      <c r="K110" s="61">
        <f t="shared" si="84"/>
        <v>7</v>
      </c>
      <c r="M110" s="2">
        <f t="shared" si="82"/>
        <v>3</v>
      </c>
      <c r="O110" s="2" t="str">
        <f t="shared" si="59"/>
        <v>P</v>
      </c>
      <c r="P110" s="2" t="str">
        <f t="shared" si="60"/>
        <v>G</v>
      </c>
      <c r="S110" s="2" t="str">
        <f t="shared" si="85"/>
        <v>FC AugsburgFC Schalke 04</v>
      </c>
      <c r="T110" s="2" t="str">
        <f t="shared" si="86"/>
        <v>2-3</v>
      </c>
      <c r="V110" s="2" t="str">
        <f t="shared" si="89"/>
        <v>Bayern München</v>
      </c>
      <c r="W110" s="2">
        <f t="shared" si="87"/>
        <v>2</v>
      </c>
      <c r="Y110" s="19">
        <f>RANK(AI110,$AI$105:$AI$122,0)+COUNTIF($AI$104:AI109,AI110)</f>
        <v>2</v>
      </c>
      <c r="Z110" s="19" t="str">
        <f t="shared" si="88"/>
        <v>Bayern München</v>
      </c>
      <c r="AA110" s="19">
        <f>COUNTIFS(F4:F56,Z110,G4:G56,"&gt;=0")+COUNTIFS(I4:I56,Z110,H4:H56,"&gt;=0")</f>
        <v>5</v>
      </c>
      <c r="AB110" s="19">
        <f>COUNTIFS(F4:F56,Z110,B4:B56,3)+COUNTIFS(I4:I56,Z110,M4:M56,3)</f>
        <v>3</v>
      </c>
      <c r="AC110" s="19">
        <f>COUNTIFS(F4:F56,Z110,B4:B56,1)+COUNTIFS(I4:I56,Z110,M4:M56,1)</f>
        <v>2</v>
      </c>
      <c r="AD110" s="19">
        <f>COUNTIFS(F4:F56,Z110,B4:B56,0)+COUNTIFS(I4:I56,Z110,M4:M56,0)</f>
        <v>0</v>
      </c>
      <c r="AE110" s="19">
        <f>SUMIF(F4:F56,Z110,G4:G56)+SUMIF(I4:I56,Z110,H4:H56)</f>
        <v>16</v>
      </c>
      <c r="AF110" s="19">
        <f>SUMIF(F4:F56,Z110,H4:H56)+SUMIF(I4:I56,Z110,G4:G56)</f>
        <v>4</v>
      </c>
      <c r="AG110" s="19">
        <f t="shared" si="91"/>
        <v>12</v>
      </c>
      <c r="AH110" s="19">
        <f t="shared" ref="AH110:AH122" si="92">(AB110*3)+AC110</f>
        <v>11</v>
      </c>
      <c r="AI110" s="19">
        <f t="shared" si="90"/>
        <v>11000.136</v>
      </c>
      <c r="AJ110" s="2"/>
      <c r="AW110" s="7"/>
    </row>
    <row r="111" spans="1:49" x14ac:dyDescent="0.25">
      <c r="A111" s="1"/>
      <c r="B111" s="2">
        <f t="shared" si="57"/>
        <v>3</v>
      </c>
      <c r="D111" s="61">
        <f t="shared" si="83"/>
        <v>15</v>
      </c>
      <c r="F111" s="9" t="s">
        <v>162</v>
      </c>
      <c r="G111" s="10">
        <v>1</v>
      </c>
      <c r="H111" s="10">
        <v>0</v>
      </c>
      <c r="I111" s="9" t="s">
        <v>88</v>
      </c>
      <c r="J111" s="6"/>
      <c r="K111" s="61">
        <f t="shared" si="84"/>
        <v>11</v>
      </c>
      <c r="M111" s="2">
        <f t="shared" si="82"/>
        <v>0</v>
      </c>
      <c r="O111" s="2" t="str">
        <f t="shared" si="59"/>
        <v>G</v>
      </c>
      <c r="P111" s="2" t="str">
        <f t="shared" si="60"/>
        <v>P</v>
      </c>
      <c r="S111" s="2" t="str">
        <f t="shared" si="85"/>
        <v>1. FC Union BerlinHertha BSC</v>
      </c>
      <c r="T111" s="2" t="str">
        <f t="shared" si="86"/>
        <v>1-0</v>
      </c>
      <c r="V111" s="2" t="str">
        <f t="shared" si="89"/>
        <v>Bor. Mönchengladbach</v>
      </c>
      <c r="W111" s="2">
        <f t="shared" si="87"/>
        <v>6</v>
      </c>
      <c r="Y111" s="19">
        <f>RANK(AI111,$AI$105:$AI$122,0)+COUNTIF($AI$104:AI110,AI111)</f>
        <v>6</v>
      </c>
      <c r="Z111" s="19" t="str">
        <f t="shared" si="88"/>
        <v>Bor. Mönchengladbach</v>
      </c>
      <c r="AA111" s="19">
        <f>COUNTIFS(F4:F56,Z111,G4:G56,"&gt;=0")+COUNTIFS(I4:I56,Z111,H4:H56,"&gt;=0")</f>
        <v>5</v>
      </c>
      <c r="AB111" s="19">
        <f>COUNTIFS(F4:F56,Z111,B4:B56,3)+COUNTIFS(I4:I56,Z111,M4:M56,3)</f>
        <v>3</v>
      </c>
      <c r="AC111" s="19">
        <f>COUNTIFS(F4:F56,Z111,B4:B56,1)+COUNTIFS(I4:I56,Z111,M4:M56,1)</f>
        <v>1</v>
      </c>
      <c r="AD111" s="19">
        <f>COUNTIFS(F4:F56,Z111,B4:B56,0)+COUNTIFS(I4:I56,Z111,M4:M56,0)</f>
        <v>1</v>
      </c>
      <c r="AE111" s="19">
        <f>SUMIF(F4:F56,Z111,G4:G56)+SUMIF(I4:I56,Z111,H4:H56)</f>
        <v>7</v>
      </c>
      <c r="AF111" s="19">
        <f>SUMIF(F4:F56,Z111,H4:H56)+SUMIF(I4:I56,Z111,G4:G56)</f>
        <v>5</v>
      </c>
      <c r="AG111" s="19">
        <f t="shared" si="91"/>
        <v>2</v>
      </c>
      <c r="AH111" s="19">
        <f t="shared" si="92"/>
        <v>10</v>
      </c>
      <c r="AI111" s="19">
        <f t="shared" si="90"/>
        <v>10000.027</v>
      </c>
      <c r="AJ111" s="2"/>
      <c r="AW111" s="7"/>
    </row>
    <row r="112" spans="1:49" x14ac:dyDescent="0.25">
      <c r="A112" s="1"/>
      <c r="F112" s="107"/>
      <c r="G112" s="108"/>
      <c r="H112" s="108"/>
      <c r="I112" s="107"/>
      <c r="J112" s="6"/>
      <c r="O112" s="2" t="str">
        <f t="shared" si="59"/>
        <v/>
      </c>
      <c r="P112" s="2" t="str">
        <f t="shared" si="60"/>
        <v/>
      </c>
      <c r="V112" s="2" t="str">
        <f t="shared" si="89"/>
        <v>Borussia Dortmund</v>
      </c>
      <c r="W112" s="2">
        <f t="shared" si="87"/>
        <v>3</v>
      </c>
      <c r="Y112" s="19">
        <f>RANK(AI112,$AI$105:$AI$122,0)+COUNTIF($AI$104:AI111,AI112)</f>
        <v>3</v>
      </c>
      <c r="Z112" s="19" t="str">
        <f t="shared" si="88"/>
        <v>Borussia Dortmund</v>
      </c>
      <c r="AA112" s="19">
        <f>COUNTIFS(F4:F56,Z112,G4:G56,"&gt;=0")+COUNTIFS(I4:I56,Z112,H4:H56,"&gt;=0")</f>
        <v>5</v>
      </c>
      <c r="AB112" s="19">
        <f>COUNTIFS(F4:F56,Z112,B4:B56,3)+COUNTIFS(I4:I56,Z112,M4:M56,3)</f>
        <v>3</v>
      </c>
      <c r="AC112" s="19">
        <f>COUNTIFS(F4:F56,Z112,B4:B56,1)+COUNTIFS(I4:I56,Z112,M4:M56,1)</f>
        <v>1</v>
      </c>
      <c r="AD112" s="19">
        <f>COUNTIFS(F4:F56,Z112,B4:B56,0)+COUNTIFS(I4:I56,Z112,M4:M56,0)</f>
        <v>1</v>
      </c>
      <c r="AE112" s="19">
        <f>SUMIF(F4:F56,Z112,G4:G56)+SUMIF(I4:I56,Z112,H4:H56)</f>
        <v>15</v>
      </c>
      <c r="AF112" s="19">
        <f>SUMIF(F4:F56,Z112,H4:H56)+SUMIF(I4:I56,Z112,G4:G56)</f>
        <v>7</v>
      </c>
      <c r="AG112" s="19">
        <f t="shared" si="91"/>
        <v>8</v>
      </c>
      <c r="AH112" s="19">
        <f t="shared" si="92"/>
        <v>10</v>
      </c>
      <c r="AI112" s="19">
        <f t="shared" si="90"/>
        <v>10000.094999999999</v>
      </c>
      <c r="AJ112" s="2"/>
      <c r="AW112" s="7"/>
    </row>
    <row r="113" spans="1:49" x14ac:dyDescent="0.25">
      <c r="A113" s="1"/>
      <c r="B113" s="2" t="str">
        <f t="shared" si="57"/>
        <v/>
      </c>
      <c r="F113" s="154" t="s">
        <v>50</v>
      </c>
      <c r="G113" s="154"/>
      <c r="H113" s="154"/>
      <c r="I113" s="154"/>
      <c r="J113" s="6"/>
      <c r="M113" s="2" t="str">
        <f t="shared" ref="M113:M122" si="93">IF(H113="","",IF(H113&gt;G113,3,IF(H113=G113,1,0)))</f>
        <v/>
      </c>
      <c r="O113" s="2" t="str">
        <f t="shared" si="59"/>
        <v/>
      </c>
      <c r="P113" s="2" t="str">
        <f t="shared" si="60"/>
        <v/>
      </c>
      <c r="V113" s="2" t="str">
        <f t="shared" si="89"/>
        <v>Eintracht Frankfurt</v>
      </c>
      <c r="W113" s="2">
        <f t="shared" si="87"/>
        <v>9</v>
      </c>
      <c r="Y113" s="19">
        <f>RANK(AI113,$AI$105:$AI$122,0)+COUNTIF($AI$104:AI112,AI113)</f>
        <v>9</v>
      </c>
      <c r="Z113" s="19" t="str">
        <f t="shared" si="88"/>
        <v>Eintracht Frankfurt</v>
      </c>
      <c r="AA113" s="19">
        <f>COUNTIFS(F4:F56,Z113,G4:G56,"&gt;=0")+COUNTIFS(I4:I56,Z113,H4:H56,"&gt;=0")</f>
        <v>5</v>
      </c>
      <c r="AB113" s="19">
        <f>COUNTIFS(F4:F56,Z113,B4:B56,3)+COUNTIFS(I4:I56,Z113,M4:M56,3)</f>
        <v>2</v>
      </c>
      <c r="AC113" s="19">
        <f>COUNTIFS(F4:F56,Z113,B4:B56,1)+COUNTIFS(I4:I56,Z113,M4:M56,1)</f>
        <v>1</v>
      </c>
      <c r="AD113" s="19">
        <f>COUNTIFS(F4:F56,Z113,B4:B56,0)+COUNTIFS(I4:I56,Z113,M4:M56,0)</f>
        <v>2</v>
      </c>
      <c r="AE113" s="19">
        <f>SUMIF(F4:F56,Z113,G4:G56)+SUMIF(I4:I56,Z113,H4:H56)</f>
        <v>7</v>
      </c>
      <c r="AF113" s="19">
        <f>SUMIF(F4:F56,Z113,H4:H56)+SUMIF(I4:I56,Z113,G4:G56)</f>
        <v>7</v>
      </c>
      <c r="AG113" s="19">
        <f t="shared" si="91"/>
        <v>0</v>
      </c>
      <c r="AH113" s="19">
        <f t="shared" si="92"/>
        <v>7</v>
      </c>
      <c r="AI113" s="19">
        <f t="shared" si="90"/>
        <v>7000.0069999999996</v>
      </c>
      <c r="AW113" s="7"/>
    </row>
    <row r="114" spans="1:49" x14ac:dyDescent="0.25">
      <c r="A114" s="1"/>
      <c r="B114" s="2">
        <f t="shared" si="57"/>
        <v>3</v>
      </c>
      <c r="D114" s="61">
        <f t="shared" ref="D114:D122" si="94">IFERROR(VLOOKUP(F114,$V$205:$W$222,2,FALSE),"")</f>
        <v>4</v>
      </c>
      <c r="F114" s="9" t="s">
        <v>79</v>
      </c>
      <c r="G114" s="10">
        <v>4</v>
      </c>
      <c r="H114" s="10">
        <v>0</v>
      </c>
      <c r="I114" s="9" t="s">
        <v>80</v>
      </c>
      <c r="J114" s="6"/>
      <c r="K114" s="61">
        <f t="shared" ref="K114:K122" si="95">IFERROR(VLOOKUP(I114,$V$205:$W$222,2,FALSE),"")</f>
        <v>2</v>
      </c>
      <c r="M114" s="2">
        <f t="shared" si="93"/>
        <v>0</v>
      </c>
      <c r="O114" s="2" t="str">
        <f t="shared" si="59"/>
        <v>G</v>
      </c>
      <c r="P114" s="2" t="str">
        <f t="shared" si="60"/>
        <v>P</v>
      </c>
      <c r="S114" s="2" t="str">
        <f t="shared" ref="S114:S122" si="96">IF(M114&lt;&gt;"",F114&amp;I114,"")</f>
        <v>Bayern MünchenBorussia Dortmund</v>
      </c>
      <c r="T114" s="2" t="str">
        <f t="shared" ref="T114:T122" si="97">IF(S114&lt;&gt;"",G114&amp;"-"&amp;H114,"")</f>
        <v>4-0</v>
      </c>
      <c r="V114" s="2" t="str">
        <f t="shared" si="89"/>
        <v>FC Augsburg</v>
      </c>
      <c r="W114" s="2">
        <f t="shared" si="87"/>
        <v>12</v>
      </c>
      <c r="Y114" s="19">
        <f>RANK(AI114,$AI$105:$AI$122,0)+COUNTIF($AI$104:AI113,AI114)</f>
        <v>12</v>
      </c>
      <c r="Z114" s="19" t="str">
        <f t="shared" si="88"/>
        <v>FC Augsburg</v>
      </c>
      <c r="AA114" s="19">
        <f>COUNTIFS(F4:F56,Z114,G4:G56,"&gt;=0")+COUNTIFS(I4:I56,Z114,H4:H56,"&gt;=0")</f>
        <v>5</v>
      </c>
      <c r="AB114" s="19">
        <f>COUNTIFS(F4:F56,Z114,B4:B56,3)+COUNTIFS(I4:I56,Z114,M4:M56,3)</f>
        <v>1</v>
      </c>
      <c r="AC114" s="19">
        <f>COUNTIFS(F4:F56,Z114,B4:B56,1)+COUNTIFS(I4:I56,Z114,M4:M56,1)</f>
        <v>2</v>
      </c>
      <c r="AD114" s="19">
        <f>COUNTIFS(F4:F56,Z114,B4:B56,0)+COUNTIFS(I4:I56,Z114,M4:M56,0)</f>
        <v>2</v>
      </c>
      <c r="AE114" s="19">
        <f>SUMIF(F4:F56,Z114,G4:G56)+SUMIF(I4:I56,Z114,H4:H56)</f>
        <v>7</v>
      </c>
      <c r="AF114" s="19">
        <f>SUMIF(F4:F56,Z114,H4:H56)+SUMIF(I4:I56,Z114,G4:G56)</f>
        <v>11</v>
      </c>
      <c r="AG114" s="19">
        <f t="shared" si="91"/>
        <v>-4</v>
      </c>
      <c r="AH114" s="19">
        <f t="shared" si="92"/>
        <v>5</v>
      </c>
      <c r="AI114" s="19">
        <f t="shared" si="90"/>
        <v>4999.9669999999996</v>
      </c>
      <c r="AJ114" s="2"/>
      <c r="AW114" s="7"/>
    </row>
    <row r="115" spans="1:49" x14ac:dyDescent="0.25">
      <c r="A115" s="1"/>
      <c r="B115" s="2">
        <f t="shared" si="57"/>
        <v>3</v>
      </c>
      <c r="D115" s="61">
        <f t="shared" si="94"/>
        <v>1</v>
      </c>
      <c r="F115" s="9" t="s">
        <v>82</v>
      </c>
      <c r="G115" s="10">
        <v>3</v>
      </c>
      <c r="H115" s="10">
        <v>1</v>
      </c>
      <c r="I115" s="9" t="s">
        <v>87</v>
      </c>
      <c r="J115" s="6"/>
      <c r="K115" s="61">
        <f t="shared" si="95"/>
        <v>12</v>
      </c>
      <c r="M115" s="2">
        <f t="shared" si="93"/>
        <v>0</v>
      </c>
      <c r="O115" s="2" t="str">
        <f t="shared" si="59"/>
        <v>G</v>
      </c>
      <c r="P115" s="2" t="str">
        <f t="shared" si="60"/>
        <v>P</v>
      </c>
      <c r="S115" s="2" t="str">
        <f t="shared" si="96"/>
        <v>Bor. MönchengladbachWerder Bremen</v>
      </c>
      <c r="T115" s="2" t="str">
        <f t="shared" si="97"/>
        <v>3-1</v>
      </c>
      <c r="V115" s="2" t="str">
        <f t="shared" si="89"/>
        <v>FC Schalke 04</v>
      </c>
      <c r="W115" s="2">
        <f t="shared" si="87"/>
        <v>5</v>
      </c>
      <c r="Y115" s="19">
        <f>RANK(AI115,$AI$105:$AI$122,0)+COUNTIF($AI$104:AI114,AI115)</f>
        <v>5</v>
      </c>
      <c r="Z115" s="19" t="str">
        <f t="shared" si="88"/>
        <v>FC Schalke 04</v>
      </c>
      <c r="AA115" s="19">
        <f>COUNTIFS(F4:F56,Z115,G4:G56,"&gt;=0")+COUNTIFS(I4:I56,Z115,H4:H56,"&gt;=0")</f>
        <v>5</v>
      </c>
      <c r="AB115" s="19">
        <f>COUNTIFS(F4:F56,Z115,B4:B56,3)+COUNTIFS(I4:I56,Z115,M4:M56,3)</f>
        <v>3</v>
      </c>
      <c r="AC115" s="19">
        <f>COUNTIFS(F4:F56,Z115,B4:B56,1)+COUNTIFS(I4:I56,Z115,M4:M56,1)</f>
        <v>1</v>
      </c>
      <c r="AD115" s="19">
        <f>COUNTIFS(F4:F56,Z115,B4:B56,0)+COUNTIFS(I4:I56,Z115,M4:M56,0)</f>
        <v>1</v>
      </c>
      <c r="AE115" s="19">
        <f>SUMIF(F4:F56,Z115,G4:G56)+SUMIF(I4:I56,Z115,H4:H56)</f>
        <v>10</v>
      </c>
      <c r="AF115" s="19">
        <f>SUMIF(F4:F56,Z115,H4:H56)+SUMIF(I4:I56,Z115,G4:G56)</f>
        <v>5</v>
      </c>
      <c r="AG115" s="19">
        <f t="shared" si="91"/>
        <v>5</v>
      </c>
      <c r="AH115" s="19">
        <f t="shared" si="92"/>
        <v>10</v>
      </c>
      <c r="AI115" s="19">
        <f t="shared" si="90"/>
        <v>10000.06</v>
      </c>
      <c r="AJ115" s="2"/>
      <c r="AW115" s="7"/>
    </row>
    <row r="116" spans="1:49" x14ac:dyDescent="0.25">
      <c r="A116" s="1"/>
      <c r="B116" s="2">
        <f t="shared" si="57"/>
        <v>0</v>
      </c>
      <c r="D116" s="61">
        <f t="shared" si="94"/>
        <v>8</v>
      </c>
      <c r="F116" s="9" t="s">
        <v>85</v>
      </c>
      <c r="G116" s="10">
        <v>0</v>
      </c>
      <c r="H116" s="10">
        <v>2</v>
      </c>
      <c r="I116" s="9" t="s">
        <v>83</v>
      </c>
      <c r="J116" s="6"/>
      <c r="K116" s="61">
        <f t="shared" si="95"/>
        <v>10</v>
      </c>
      <c r="M116" s="2">
        <f t="shared" si="93"/>
        <v>3</v>
      </c>
      <c r="O116" s="2" t="str">
        <f t="shared" si="59"/>
        <v>P</v>
      </c>
      <c r="P116" s="2" t="str">
        <f t="shared" si="60"/>
        <v>G</v>
      </c>
      <c r="S116" s="2" t="str">
        <f t="shared" si="96"/>
        <v>VfL WolfsburgBayer Leverkusen</v>
      </c>
      <c r="T116" s="2" t="str">
        <f t="shared" si="97"/>
        <v>0-2</v>
      </c>
      <c r="V116" s="2" t="str">
        <f t="shared" si="89"/>
        <v>Fortuna Düsseldorf</v>
      </c>
      <c r="W116" s="2">
        <f t="shared" si="87"/>
        <v>13</v>
      </c>
      <c r="Y116" s="19">
        <f>RANK(AI116,$AI$105:$AI$122,0)+COUNTIF($AI$104:AI115,AI116)</f>
        <v>13</v>
      </c>
      <c r="Z116" s="19" t="str">
        <f t="shared" si="88"/>
        <v>Fortuna Düsseldorf</v>
      </c>
      <c r="AA116" s="19">
        <f>COUNTIFS(F4:F56,Z116,G4:G56,"&gt;=0")+COUNTIFS(I4:I56,Z116,H4:H56,"&gt;=0")</f>
        <v>5</v>
      </c>
      <c r="AB116" s="19">
        <f>COUNTIFS(F4:F56,Z116,B4:B56,3)+COUNTIFS(I4:I56,Z116,M4:M56,3)</f>
        <v>1</v>
      </c>
      <c r="AC116" s="19">
        <f>COUNTIFS(F4:F56,Z116,B4:B56,1)+COUNTIFS(I4:I56,Z116,M4:M56,1)</f>
        <v>1</v>
      </c>
      <c r="AD116" s="19">
        <f>COUNTIFS(F4:F56,Z116,B4:B56,0)+COUNTIFS(I4:I56,Z116,M4:M56,0)</f>
        <v>3</v>
      </c>
      <c r="AE116" s="19">
        <f>SUMIF(F4:F56,Z116,G4:G56)+SUMIF(I4:I56,Z116,H4:H56)</f>
        <v>7</v>
      </c>
      <c r="AF116" s="19">
        <f>SUMIF(F4:F56,Z116,H4:H56)+SUMIF(I4:I56,Z116,G4:G56)</f>
        <v>9</v>
      </c>
      <c r="AG116" s="19">
        <f t="shared" si="91"/>
        <v>-2</v>
      </c>
      <c r="AH116" s="19">
        <f t="shared" si="92"/>
        <v>4</v>
      </c>
      <c r="AI116" s="19">
        <f t="shared" si="90"/>
        <v>3999.9870000000001</v>
      </c>
      <c r="AJ116" s="2"/>
      <c r="AW116" s="7"/>
    </row>
    <row r="117" spans="1:49" x14ac:dyDescent="0.25">
      <c r="A117" s="1"/>
      <c r="B117" s="2">
        <f t="shared" si="57"/>
        <v>0</v>
      </c>
      <c r="D117" s="61">
        <f t="shared" si="94"/>
        <v>11</v>
      </c>
      <c r="F117" s="9" t="s">
        <v>88</v>
      </c>
      <c r="G117" s="10">
        <v>2</v>
      </c>
      <c r="H117" s="10">
        <v>4</v>
      </c>
      <c r="I117" s="9" t="s">
        <v>81</v>
      </c>
      <c r="J117" s="6"/>
      <c r="K117" s="61">
        <f t="shared" si="95"/>
        <v>3</v>
      </c>
      <c r="M117" s="2">
        <f t="shared" si="93"/>
        <v>3</v>
      </c>
      <c r="O117" s="2" t="str">
        <f t="shared" si="59"/>
        <v>P</v>
      </c>
      <c r="P117" s="2" t="str">
        <f t="shared" si="60"/>
        <v>G</v>
      </c>
      <c r="S117" s="2" t="str">
        <f t="shared" si="96"/>
        <v>Hertha BSCRB Leipzig</v>
      </c>
      <c r="T117" s="2" t="str">
        <f t="shared" si="97"/>
        <v>2-4</v>
      </c>
      <c r="V117" s="2" t="str">
        <f t="shared" si="89"/>
        <v>Hertha BSC</v>
      </c>
      <c r="W117" s="2">
        <f t="shared" si="87"/>
        <v>15</v>
      </c>
      <c r="Y117" s="19">
        <f>RANK(AI117,$AI$105:$AI$122,0)+COUNTIF($AI$104:AI116,AI117)</f>
        <v>15</v>
      </c>
      <c r="Z117" s="19" t="str">
        <f t="shared" si="88"/>
        <v>Hertha BSC</v>
      </c>
      <c r="AA117" s="19">
        <f>COUNTIFS(F4:F56,Z117,G4:G56,"&gt;=0")+COUNTIFS(I4:I56,Z117,H4:H56,"&gt;=0")</f>
        <v>5</v>
      </c>
      <c r="AB117" s="19">
        <f>COUNTIFS(F4:F56,Z117,B4:B56,3)+COUNTIFS(I4:I56,Z117,M4:M56,3)</f>
        <v>1</v>
      </c>
      <c r="AC117" s="19">
        <f>COUNTIFS(F4:F56,Z117,B4:B56,1)+COUNTIFS(I4:I56,Z117,M4:M56,1)</f>
        <v>1</v>
      </c>
      <c r="AD117" s="19">
        <f>COUNTIFS(F4:F56,Z117,B4:B56,0)+COUNTIFS(I4:I56,Z117,M4:M56,0)</f>
        <v>3</v>
      </c>
      <c r="AE117" s="19">
        <f>SUMIF(F4:F56,Z117,G4:G56)+SUMIF(I4:I56,Z117,H4:H56)</f>
        <v>5</v>
      </c>
      <c r="AF117" s="19">
        <f>SUMIF(F4:F56,Z117,H4:H56)+SUMIF(I4:I56,Z117,G4:G56)</f>
        <v>11</v>
      </c>
      <c r="AG117" s="19">
        <f t="shared" si="91"/>
        <v>-6</v>
      </c>
      <c r="AH117" s="19">
        <f t="shared" si="92"/>
        <v>4</v>
      </c>
      <c r="AI117" s="19">
        <f t="shared" si="90"/>
        <v>3999.9450000000002</v>
      </c>
      <c r="AJ117" s="2"/>
      <c r="AW117" s="7"/>
    </row>
    <row r="118" spans="1:49" x14ac:dyDescent="0.25">
      <c r="A118" s="1"/>
      <c r="B118" s="2">
        <f t="shared" si="57"/>
        <v>0</v>
      </c>
      <c r="D118" s="61">
        <f t="shared" si="94"/>
        <v>15</v>
      </c>
      <c r="F118" s="9" t="s">
        <v>90</v>
      </c>
      <c r="G118" s="10">
        <v>2</v>
      </c>
      <c r="H118" s="10">
        <v>3</v>
      </c>
      <c r="I118" s="9" t="s">
        <v>162</v>
      </c>
      <c r="J118" s="6"/>
      <c r="K118" s="61">
        <f t="shared" si="95"/>
        <v>14</v>
      </c>
      <c r="M118" s="2">
        <f t="shared" si="93"/>
        <v>3</v>
      </c>
      <c r="O118" s="2" t="str">
        <f t="shared" si="59"/>
        <v>P</v>
      </c>
      <c r="P118" s="2" t="str">
        <f t="shared" si="60"/>
        <v>G</v>
      </c>
      <c r="S118" s="2" t="str">
        <f t="shared" si="96"/>
        <v>1. FSV Mainz 051. FC Union Berlin</v>
      </c>
      <c r="T118" s="2" t="str">
        <f t="shared" si="97"/>
        <v>2-3</v>
      </c>
      <c r="V118" s="2" t="str">
        <f t="shared" si="89"/>
        <v>RB Leipzig</v>
      </c>
      <c r="W118" s="2">
        <f t="shared" si="87"/>
        <v>1</v>
      </c>
      <c r="Y118" s="19">
        <f>RANK(AI118,$AI$105:$AI$122,0)+COUNTIF($AI$104:AI117,AI118)</f>
        <v>1</v>
      </c>
      <c r="Z118" s="19" t="str">
        <f t="shared" si="88"/>
        <v>RB Leipzig</v>
      </c>
      <c r="AA118" s="19">
        <f>COUNTIFS(F4:F56,Z118,G4:G56,"&gt;=0")+COUNTIFS(I4:I56,Z118,H4:H56,"&gt;=0")</f>
        <v>5</v>
      </c>
      <c r="AB118" s="19">
        <f>COUNTIFS(F4:F56,Z118,B4:B56,3)+COUNTIFS(I4:I56,Z118,M4:M56,3)</f>
        <v>4</v>
      </c>
      <c r="AC118" s="19">
        <f>COUNTIFS(F4:F56,Z118,B4:B56,1)+COUNTIFS(I4:I56,Z118,M4:M56,1)</f>
        <v>1</v>
      </c>
      <c r="AD118" s="19">
        <f>COUNTIFS(F4:F56,Z118,B4:B56,0)+COUNTIFS(I4:I56,Z118,M4:M56,0)</f>
        <v>0</v>
      </c>
      <c r="AE118" s="19">
        <f>SUMIF(F4:F56,Z118,G4:G56)+SUMIF(I4:I56,Z118,H4:H56)</f>
        <v>13</v>
      </c>
      <c r="AF118" s="19">
        <f>SUMIF(F4:F56,Z118,H4:H56)+SUMIF(I4:I56,Z118,G4:G56)</f>
        <v>3</v>
      </c>
      <c r="AG118" s="19">
        <f t="shared" si="91"/>
        <v>10</v>
      </c>
      <c r="AH118" s="19">
        <f t="shared" si="92"/>
        <v>13</v>
      </c>
      <c r="AI118" s="19">
        <f t="shared" si="90"/>
        <v>13000.113000000001</v>
      </c>
      <c r="AJ118" s="2"/>
      <c r="AW118" s="7"/>
    </row>
    <row r="119" spans="1:49" x14ac:dyDescent="0.25">
      <c r="A119" s="1"/>
      <c r="B119" s="2">
        <f t="shared" si="57"/>
        <v>3</v>
      </c>
      <c r="D119" s="61">
        <f t="shared" si="94"/>
        <v>5</v>
      </c>
      <c r="F119" s="9" t="s">
        <v>91</v>
      </c>
      <c r="G119" s="10">
        <v>1</v>
      </c>
      <c r="H119" s="10">
        <v>0</v>
      </c>
      <c r="I119" s="9" t="s">
        <v>84</v>
      </c>
      <c r="J119" s="6"/>
      <c r="K119" s="61">
        <f t="shared" si="95"/>
        <v>7</v>
      </c>
      <c r="M119" s="2">
        <f t="shared" si="93"/>
        <v>0</v>
      </c>
      <c r="O119" s="2" t="str">
        <f t="shared" si="59"/>
        <v>G</v>
      </c>
      <c r="P119" s="2" t="str">
        <f t="shared" si="60"/>
        <v>P</v>
      </c>
      <c r="S119" s="2" t="str">
        <f t="shared" si="96"/>
        <v>SC FreiburgEintracht Frankfurt</v>
      </c>
      <c r="T119" s="2" t="str">
        <f t="shared" si="97"/>
        <v>1-0</v>
      </c>
      <c r="V119" s="2" t="str">
        <f t="shared" si="89"/>
        <v>SC Freiburg</v>
      </c>
      <c r="W119" s="2">
        <f t="shared" si="87"/>
        <v>4</v>
      </c>
      <c r="Y119" s="19">
        <f>RANK(AI119,$AI$105:$AI$122,0)+COUNTIF($AI$104:AI118,AI119)</f>
        <v>4</v>
      </c>
      <c r="Z119" s="19" t="str">
        <f t="shared" si="88"/>
        <v>SC Freiburg</v>
      </c>
      <c r="AA119" s="19">
        <f>COUNTIFS(F4:F56,Z119,G4:G56,"&gt;=0")+COUNTIFS(I4:I56,Z119,H4:H56,"&gt;=0")</f>
        <v>5</v>
      </c>
      <c r="AB119" s="19">
        <f>COUNTIFS(F4:F56,Z119,B4:B56,3)+COUNTIFS(I4:I56,Z119,M4:M56,3)</f>
        <v>3</v>
      </c>
      <c r="AC119" s="19">
        <f>COUNTIFS(F4:F56,Z119,B4:B56,1)+COUNTIFS(I4:I56,Z119,M4:M56,1)</f>
        <v>1</v>
      </c>
      <c r="AD119" s="19">
        <f>COUNTIFS(F4:F56,Z119,B4:B56,0)+COUNTIFS(I4:I56,Z119,M4:M56,0)</f>
        <v>1</v>
      </c>
      <c r="AE119" s="19">
        <f>SUMIF(F4:F56,Z119,G4:G56)+SUMIF(I4:I56,Z119,H4:H56)</f>
        <v>11</v>
      </c>
      <c r="AF119" s="19">
        <f>SUMIF(F4:F56,Z119,H4:H56)+SUMIF(I4:I56,Z119,G4:G56)</f>
        <v>4</v>
      </c>
      <c r="AG119" s="19">
        <f t="shared" si="91"/>
        <v>7</v>
      </c>
      <c r="AH119" s="19">
        <f t="shared" si="92"/>
        <v>10</v>
      </c>
      <c r="AI119" s="19">
        <f t="shared" si="90"/>
        <v>10000.081</v>
      </c>
      <c r="AJ119" s="2"/>
      <c r="AW119" s="7"/>
    </row>
    <row r="120" spans="1:49" x14ac:dyDescent="0.25">
      <c r="A120" s="1"/>
      <c r="B120" s="2">
        <f t="shared" si="57"/>
        <v>1</v>
      </c>
      <c r="D120" s="61">
        <f t="shared" si="94"/>
        <v>6</v>
      </c>
      <c r="F120" s="9" t="s">
        <v>93</v>
      </c>
      <c r="G120" s="10">
        <v>3</v>
      </c>
      <c r="H120" s="10">
        <v>3</v>
      </c>
      <c r="I120" s="9" t="s">
        <v>89</v>
      </c>
      <c r="J120" s="6"/>
      <c r="K120" s="61">
        <f t="shared" si="95"/>
        <v>13</v>
      </c>
      <c r="M120" s="2">
        <f t="shared" si="93"/>
        <v>1</v>
      </c>
      <c r="O120" s="2" t="str">
        <f t="shared" si="59"/>
        <v>N</v>
      </c>
      <c r="P120" s="2" t="str">
        <f t="shared" si="60"/>
        <v>N</v>
      </c>
      <c r="S120" s="2" t="str">
        <f t="shared" si="96"/>
        <v>FC Schalke 04Fortuna Düsseldorf</v>
      </c>
      <c r="T120" s="2" t="str">
        <f t="shared" si="97"/>
        <v>3-3</v>
      </c>
      <c r="V120" s="2" t="str">
        <f t="shared" si="89"/>
        <v>SC Paderborn 07</v>
      </c>
      <c r="W120" s="2">
        <f t="shared" si="87"/>
        <v>18</v>
      </c>
      <c r="Y120" s="19">
        <f>RANK(AI120,$AI$105:$AI$122,0)+COUNTIF($AI$104:AI119,AI120)</f>
        <v>18</v>
      </c>
      <c r="Z120" s="19" t="str">
        <f t="shared" si="88"/>
        <v>SC Paderborn 07</v>
      </c>
      <c r="AA120" s="19">
        <f>COUNTIFS(F4:F56,Z120,G4:G56,"&gt;=0")+COUNTIFS(I4:I56,Z120,H4:H56,"&gt;=0")</f>
        <v>5</v>
      </c>
      <c r="AB120" s="19">
        <f>COUNTIFS(F4:F56,Z120,B4:B56,3)+COUNTIFS(I4:I56,Z120,M4:M56,3)</f>
        <v>0</v>
      </c>
      <c r="AC120" s="19">
        <f>COUNTIFS(F4:F56,Z120,B4:B56,1)+COUNTIFS(I4:I56,Z120,M4:M56,1)</f>
        <v>1</v>
      </c>
      <c r="AD120" s="19">
        <f>COUNTIFS(F4:F56,Z120,B4:B56,0)+COUNTIFS(I4:I56,Z120,M4:M56,0)</f>
        <v>4</v>
      </c>
      <c r="AE120" s="19">
        <f>SUMIF(F4:F56,Z120,G4:G56)+SUMIF(I4:I56,Z120,H4:H56)</f>
        <v>6</v>
      </c>
      <c r="AF120" s="19">
        <f>SUMIF(F4:F56,Z120,H4:H56)+SUMIF(I4:I56,Z120,G4:G56)</f>
        <v>14</v>
      </c>
      <c r="AG120" s="19">
        <f t="shared" si="91"/>
        <v>-8</v>
      </c>
      <c r="AH120" s="19">
        <f t="shared" si="92"/>
        <v>1</v>
      </c>
      <c r="AI120" s="19">
        <f t="shared" si="90"/>
        <v>999.92599999999993</v>
      </c>
      <c r="AJ120" s="2"/>
      <c r="AW120" s="7"/>
    </row>
    <row r="121" spans="1:49" x14ac:dyDescent="0.25">
      <c r="A121" s="1"/>
      <c r="B121" s="2">
        <f t="shared" si="57"/>
        <v>0</v>
      </c>
      <c r="D121" s="61">
        <f t="shared" si="94"/>
        <v>17</v>
      </c>
      <c r="F121" s="9" t="s">
        <v>161</v>
      </c>
      <c r="G121" s="10">
        <v>1</v>
      </c>
      <c r="H121" s="10">
        <v>2</v>
      </c>
      <c r="I121" s="9" t="s">
        <v>86</v>
      </c>
      <c r="J121" s="6"/>
      <c r="K121" s="61">
        <f t="shared" si="95"/>
        <v>9</v>
      </c>
      <c r="M121" s="2">
        <f t="shared" si="93"/>
        <v>3</v>
      </c>
      <c r="O121" s="2" t="str">
        <f t="shared" si="59"/>
        <v>P</v>
      </c>
      <c r="P121" s="2" t="str">
        <f t="shared" si="60"/>
        <v>G</v>
      </c>
      <c r="S121" s="2" t="str">
        <f t="shared" si="96"/>
        <v>1. FC Köln1899 Hoffenheim</v>
      </c>
      <c r="T121" s="2" t="str">
        <f t="shared" si="97"/>
        <v>1-2</v>
      </c>
      <c r="V121" s="2" t="str">
        <f t="shared" si="89"/>
        <v>VfL Wolfsburg</v>
      </c>
      <c r="W121" s="2">
        <f t="shared" si="87"/>
        <v>8</v>
      </c>
      <c r="Y121" s="19">
        <f>RANK(AI121,$AI$105:$AI$122,0)+COUNTIF($AI$104:AI120,AI121)</f>
        <v>8</v>
      </c>
      <c r="Z121" s="19" t="str">
        <f t="shared" si="88"/>
        <v>VfL Wolfsburg</v>
      </c>
      <c r="AA121" s="19">
        <f>COUNTIFS(F4:F56,Z105,G4:G56,"&gt;=0")+COUNTIFS(I4:I56,Z105,H4:H56,"&gt;=0")</f>
        <v>5</v>
      </c>
      <c r="AB121" s="19">
        <f>COUNTIFS(F4:F56,Z121,B4:B56,3)+COUNTIFS(I4:I56,Z121,M4:M56,3)</f>
        <v>2</v>
      </c>
      <c r="AC121" s="19">
        <f>COUNTIFS(F4:F56,Z121,B4:B56,1)+COUNTIFS(I4:I56,Z121,M4:M56,1)</f>
        <v>3</v>
      </c>
      <c r="AD121" s="19">
        <f>COUNTIFS(F4:F56,Z121,B4:B56,0)+COUNTIFS(I4:I56,Z121,M4:M56,0)</f>
        <v>0</v>
      </c>
      <c r="AE121" s="19">
        <f>SUMIF(F4:F56,Z121,G4:G56)+SUMIF(I4:I56,Z121,H4:H56)</f>
        <v>8</v>
      </c>
      <c r="AF121" s="19">
        <f>SUMIF(F4:F56,Z121,H4:H56)+SUMIF(I4:I56,Z121,G4:G56)</f>
        <v>4</v>
      </c>
      <c r="AG121" s="19">
        <f t="shared" si="91"/>
        <v>4</v>
      </c>
      <c r="AH121" s="19">
        <f t="shared" si="92"/>
        <v>9</v>
      </c>
      <c r="AI121" s="19">
        <f t="shared" si="90"/>
        <v>9000.0480000000007</v>
      </c>
      <c r="AJ121" s="2"/>
      <c r="AW121" s="7"/>
    </row>
    <row r="122" spans="1:49" x14ac:dyDescent="0.25">
      <c r="A122" s="1"/>
      <c r="B122" s="2">
        <f t="shared" si="57"/>
        <v>0</v>
      </c>
      <c r="D122" s="61">
        <f t="shared" si="94"/>
        <v>18</v>
      </c>
      <c r="F122" s="9" t="s">
        <v>148</v>
      </c>
      <c r="G122" s="10">
        <v>0</v>
      </c>
      <c r="H122" s="10">
        <v>1</v>
      </c>
      <c r="I122" s="9" t="s">
        <v>92</v>
      </c>
      <c r="J122" s="6"/>
      <c r="K122" s="61">
        <f t="shared" si="95"/>
        <v>16</v>
      </c>
      <c r="M122" s="2">
        <f t="shared" si="93"/>
        <v>3</v>
      </c>
      <c r="O122" s="2" t="str">
        <f t="shared" si="59"/>
        <v>P</v>
      </c>
      <c r="P122" s="2" t="str">
        <f t="shared" si="60"/>
        <v>G</v>
      </c>
      <c r="S122" s="2" t="str">
        <f t="shared" si="96"/>
        <v>SC Paderborn 07FC Augsburg</v>
      </c>
      <c r="T122" s="2" t="str">
        <f t="shared" si="97"/>
        <v>0-1</v>
      </c>
      <c r="V122" s="2" t="str">
        <f t="shared" si="89"/>
        <v>Werder Bremen</v>
      </c>
      <c r="W122" s="2">
        <f t="shared" si="87"/>
        <v>10</v>
      </c>
      <c r="Y122" s="19">
        <f>RANK(AI122,$AI$105:$AI$122,0)+COUNTIF($AI$104:AI121,AI122)</f>
        <v>10</v>
      </c>
      <c r="Z122" s="19" t="str">
        <f t="shared" si="88"/>
        <v>Werder Bremen</v>
      </c>
      <c r="AA122" s="19">
        <f>COUNTIFS(F4:F56,Z122,G4:G56,"&gt;=0")+COUNTIFS(I4:I56,Z122,H4:H56,"&gt;=0")</f>
        <v>5</v>
      </c>
      <c r="AB122" s="19">
        <f>COUNTIFS(F4:F56,Z122,B4:B56,3)+COUNTIFS(I4:I56,Z122,M4:M56,3)</f>
        <v>2</v>
      </c>
      <c r="AC122" s="19">
        <f>COUNTIFS(F4:F56,Z122,B4:B56,1)+COUNTIFS(I4:I56,Z122,M4:M56,1)</f>
        <v>0</v>
      </c>
      <c r="AD122" s="19">
        <f>COUNTIFS(F4:F56,Z122,B4:B56,0)+COUNTIFS(I4:I56,Z122,M4:M56,0)</f>
        <v>3</v>
      </c>
      <c r="AE122" s="19">
        <f>SUMIF(F4:F56,Z122,G4:G56)+SUMIF(I4:I56,Z122,H4:H56)</f>
        <v>8</v>
      </c>
      <c r="AF122" s="19">
        <f>SUMIF(F4:F56,Z122,H4:H56)+SUMIF(I4:I56,Z122,G4:G56)</f>
        <v>12</v>
      </c>
      <c r="AG122" s="19">
        <f t="shared" si="91"/>
        <v>-4</v>
      </c>
      <c r="AH122" s="19">
        <f t="shared" si="92"/>
        <v>6</v>
      </c>
      <c r="AI122" s="19">
        <f t="shared" si="90"/>
        <v>5999.9679999999998</v>
      </c>
      <c r="AJ122" s="2"/>
      <c r="AW122" s="7"/>
    </row>
    <row r="123" spans="1:49" x14ac:dyDescent="0.25">
      <c r="A123" s="1"/>
      <c r="F123" s="107"/>
      <c r="G123" s="108"/>
      <c r="H123" s="108"/>
      <c r="I123" s="107"/>
      <c r="J123" s="6"/>
      <c r="O123" s="2" t="str">
        <f t="shared" si="59"/>
        <v/>
      </c>
      <c r="P123" s="2" t="str">
        <f t="shared" si="60"/>
        <v/>
      </c>
      <c r="AJ123" s="2"/>
      <c r="AW123" s="7"/>
    </row>
    <row r="124" spans="1:49" x14ac:dyDescent="0.25">
      <c r="A124" s="1"/>
      <c r="B124" s="2" t="str">
        <f t="shared" si="57"/>
        <v/>
      </c>
      <c r="F124" s="154" t="s">
        <v>51</v>
      </c>
      <c r="G124" s="154"/>
      <c r="H124" s="154"/>
      <c r="I124" s="154"/>
      <c r="J124" s="6"/>
      <c r="M124" s="2" t="str">
        <f t="shared" ref="M124:M133" si="98">IF(H124="","",IF(H124&gt;G124,3,IF(H124=G124,1,0)))</f>
        <v/>
      </c>
      <c r="O124" s="2" t="str">
        <f t="shared" si="59"/>
        <v/>
      </c>
      <c r="P124" s="2" t="str">
        <f t="shared" si="60"/>
        <v/>
      </c>
      <c r="W124" s="18">
        <v>6</v>
      </c>
      <c r="Y124" s="19"/>
      <c r="Z124" s="19" t="s">
        <v>1</v>
      </c>
      <c r="AA124" s="19" t="s">
        <v>2</v>
      </c>
      <c r="AB124" s="19" t="s">
        <v>3</v>
      </c>
      <c r="AC124" s="19" t="s">
        <v>4</v>
      </c>
      <c r="AD124" s="19" t="s">
        <v>5</v>
      </c>
      <c r="AE124" s="19" t="s">
        <v>6</v>
      </c>
      <c r="AF124" s="19" t="s">
        <v>7</v>
      </c>
      <c r="AG124" s="19" t="s">
        <v>8</v>
      </c>
      <c r="AH124" s="19" t="s">
        <v>9</v>
      </c>
      <c r="AI124" s="19" t="s">
        <v>0</v>
      </c>
      <c r="AJ124" s="2"/>
      <c r="AW124" s="7"/>
    </row>
    <row r="125" spans="1:49" x14ac:dyDescent="0.25">
      <c r="A125" s="1"/>
      <c r="B125" s="2">
        <f t="shared" si="57"/>
        <v>1</v>
      </c>
      <c r="D125" s="61">
        <f t="shared" ref="D125:D133" si="99">IFERROR(VLOOKUP(F125,$V$225:$W$242,2,FALSE),"")</f>
        <v>6</v>
      </c>
      <c r="F125" s="9" t="s">
        <v>80</v>
      </c>
      <c r="G125" s="10">
        <v>3</v>
      </c>
      <c r="H125" s="10">
        <v>3</v>
      </c>
      <c r="I125" s="9" t="s">
        <v>148</v>
      </c>
      <c r="J125" s="6"/>
      <c r="K125" s="61">
        <f t="shared" ref="K125:K133" si="100">IFERROR(VLOOKUP(I125,$V$225:$W$242,2,FALSE),"")</f>
        <v>18</v>
      </c>
      <c r="M125" s="2">
        <f t="shared" si="98"/>
        <v>1</v>
      </c>
      <c r="O125" s="2" t="str">
        <f t="shared" si="59"/>
        <v>N</v>
      </c>
      <c r="P125" s="2" t="str">
        <f t="shared" si="60"/>
        <v>N</v>
      </c>
      <c r="S125" s="2" t="str">
        <f t="shared" ref="S125:S133" si="101">IF(M125&lt;&gt;"",F125&amp;I125,"")</f>
        <v>Borussia DortmundSC Paderborn 07</v>
      </c>
      <c r="T125" s="2" t="str">
        <f t="shared" ref="T125:T133" si="102">IF(S125&lt;&gt;"",G125&amp;"-"&amp;H125,"")</f>
        <v>3-3</v>
      </c>
      <c r="V125" s="2" t="str">
        <f>CONCATENATE(Z125)</f>
        <v>1. FC Köln</v>
      </c>
      <c r="W125" s="2">
        <f t="shared" ref="W125:W142" si="103">Y125</f>
        <v>17</v>
      </c>
      <c r="Y125" s="19">
        <f>RANK(AI125,$AI$125:$AI$142,0)+COUNTIF($AI$124:AI124,AI125)</f>
        <v>17</v>
      </c>
      <c r="Z125" s="19" t="str">
        <f t="shared" ref="Z125:Z142" si="104">CONCATENATE(Z5)</f>
        <v>1. FC Köln</v>
      </c>
      <c r="AA125" s="19">
        <f>COUNTIFS(F4:F67,Z125,G4:G67,"&gt;=0")+COUNTIFS(I4:I67,Z125,H4:H67,"&gt;=0")</f>
        <v>6</v>
      </c>
      <c r="AB125" s="19">
        <f>COUNTIFS(F4:F67,Z125,B4:B67,3)+COUNTIFS(I4:I67,Z125,M4:M67,3)</f>
        <v>1</v>
      </c>
      <c r="AC125" s="19">
        <f>COUNTIFS(F4:F67,Z125,B4:B67,1)+COUNTIFS(I4:I67,Z125,M4:M67,1)</f>
        <v>0</v>
      </c>
      <c r="AD125" s="19">
        <f>COUNTIFS(F4:F67,Z125,B4:B67,0)+COUNTIFS(I4:I67,Z125,M4:M67,0)</f>
        <v>5</v>
      </c>
      <c r="AE125" s="19">
        <f>SUMIF(F4:F67,Z125,G4:G67)+SUMIF(I4:I67,Z125,H4:H67)</f>
        <v>4</v>
      </c>
      <c r="AF125" s="19">
        <f>SUMIF(F4:F67,Z125,H4:H67)+SUMIF(I4:I67,Z125,G4:G67)</f>
        <v>15</v>
      </c>
      <c r="AG125" s="19">
        <f>+AE125-AF125</f>
        <v>-11</v>
      </c>
      <c r="AH125" s="19">
        <f>(AB125*3)+AC125</f>
        <v>3</v>
      </c>
      <c r="AI125" s="19">
        <f>SUM(AH125*1000+(AG125)/100+(AE125)/1000)</f>
        <v>2999.8939999999998</v>
      </c>
      <c r="AJ125" s="2"/>
      <c r="AW125" s="7"/>
    </row>
    <row r="126" spans="1:49" x14ac:dyDescent="0.25">
      <c r="A126" s="1"/>
      <c r="B126" s="2">
        <f t="shared" si="57"/>
        <v>3</v>
      </c>
      <c r="D126" s="61">
        <f t="shared" si="99"/>
        <v>2</v>
      </c>
      <c r="F126" s="9" t="s">
        <v>81</v>
      </c>
      <c r="G126" s="10">
        <v>4</v>
      </c>
      <c r="H126" s="10">
        <v>1</v>
      </c>
      <c r="I126" s="9" t="s">
        <v>161</v>
      </c>
      <c r="J126" s="6"/>
      <c r="K126" s="61">
        <f t="shared" si="100"/>
        <v>17</v>
      </c>
      <c r="M126" s="2">
        <f t="shared" si="98"/>
        <v>0</v>
      </c>
      <c r="O126" s="2" t="str">
        <f t="shared" si="59"/>
        <v>G</v>
      </c>
      <c r="P126" s="2" t="str">
        <f t="shared" si="60"/>
        <v>P</v>
      </c>
      <c r="S126" s="2" t="str">
        <f t="shared" si="101"/>
        <v>RB Leipzig1. FC Köln</v>
      </c>
      <c r="T126" s="2" t="str">
        <f t="shared" si="102"/>
        <v>4-1</v>
      </c>
      <c r="V126" s="2" t="str">
        <f t="shared" ref="V126:V142" si="105">CONCATENATE(Z126)</f>
        <v>1. FC Union Berlin</v>
      </c>
      <c r="W126" s="2">
        <f t="shared" si="103"/>
        <v>15</v>
      </c>
      <c r="Y126" s="19">
        <f>RANK(AI126,$AI$125:$AI$142,0)+COUNTIF($AI$124:AI125,AI126)</f>
        <v>15</v>
      </c>
      <c r="Z126" s="19" t="str">
        <f t="shared" si="104"/>
        <v>1. FC Union Berlin</v>
      </c>
      <c r="AA126" s="19">
        <f>COUNTIFS(F4:F67,Z126,G4:G67,"&gt;=0")+COUNTIFS(I4:I67,Z126,H4:H67,"&gt;=0")</f>
        <v>6</v>
      </c>
      <c r="AB126" s="19">
        <f>COUNTIFS(F4:F67,Z126,B4:B67,3)+COUNTIFS(I4:I67,Z126,M4:M67,3)</f>
        <v>1</v>
      </c>
      <c r="AC126" s="19">
        <f>COUNTIFS(F4:F67,Z126,B4:B67,1)+COUNTIFS(I4:I67,Z126,M4:M67,1)</f>
        <v>1</v>
      </c>
      <c r="AD126" s="19">
        <f>COUNTIFS(F4:F67,Z126,B4:B67,0)+COUNTIFS(I4:I67,Z126,M4:M67,0)</f>
        <v>4</v>
      </c>
      <c r="AE126" s="19">
        <f>SUMIF(F4:F67,Z126,G4:G67)+SUMIF(I4:I67,Z126,H4:H67)</f>
        <v>6</v>
      </c>
      <c r="AF126" s="19">
        <f>SUMIF(F4:F67,Z126,H4:H67)+SUMIF(I4:I67,Z126,G4:G67)</f>
        <v>12</v>
      </c>
      <c r="AG126" s="19">
        <f>+AE126-AF126</f>
        <v>-6</v>
      </c>
      <c r="AH126" s="19">
        <f>(AB126*3)+AC126</f>
        <v>4</v>
      </c>
      <c r="AI126" s="19">
        <f t="shared" ref="AI126:AI142" si="106">SUM(AH126*1000+(AG126)/100+(AE126)/1000)</f>
        <v>3999.9459999999999</v>
      </c>
      <c r="AJ126" s="2"/>
      <c r="AW126" s="7"/>
    </row>
    <row r="127" spans="1:49" x14ac:dyDescent="0.25">
      <c r="A127" s="1"/>
      <c r="B127" s="2">
        <f t="shared" si="57"/>
        <v>1</v>
      </c>
      <c r="D127" s="61">
        <f t="shared" si="99"/>
        <v>8</v>
      </c>
      <c r="F127" s="9" t="s">
        <v>83</v>
      </c>
      <c r="G127" s="10">
        <v>1</v>
      </c>
      <c r="H127" s="10">
        <v>1</v>
      </c>
      <c r="I127" s="9" t="s">
        <v>91</v>
      </c>
      <c r="J127" s="6"/>
      <c r="K127" s="61">
        <f t="shared" si="100"/>
        <v>4</v>
      </c>
      <c r="M127" s="2">
        <f t="shared" si="98"/>
        <v>1</v>
      </c>
      <c r="O127" s="2" t="str">
        <f t="shared" si="59"/>
        <v>N</v>
      </c>
      <c r="P127" s="2" t="str">
        <f t="shared" si="60"/>
        <v>N</v>
      </c>
      <c r="S127" s="2" t="str">
        <f t="shared" si="101"/>
        <v>Bayer LeverkusenSC Freiburg</v>
      </c>
      <c r="T127" s="2" t="str">
        <f t="shared" si="102"/>
        <v>1-1</v>
      </c>
      <c r="V127" s="2" t="str">
        <f t="shared" si="105"/>
        <v>1. FSV Mainz 05</v>
      </c>
      <c r="W127" s="2">
        <f t="shared" si="103"/>
        <v>16</v>
      </c>
      <c r="Y127" s="19">
        <f>RANK(AI127,$AI$125:$AI$142,0)+COUNTIF($AI$124:AI126,AI127)</f>
        <v>16</v>
      </c>
      <c r="Z127" s="19" t="str">
        <f t="shared" si="104"/>
        <v>1. FSV Mainz 05</v>
      </c>
      <c r="AA127" s="19">
        <f>COUNTIFS(F4:F67,Z127,G4:G67,"&gt;=0")+COUNTIFS(I4:I67,Z127,H4:H67,"&gt;=0")</f>
        <v>6</v>
      </c>
      <c r="AB127" s="19">
        <f>COUNTIFS(F4:F67,Z127,B4:B67,3)+COUNTIFS(I4:I67,Z127,M4:M67,3)</f>
        <v>1</v>
      </c>
      <c r="AC127" s="19">
        <f>COUNTIFS(F4:F67,Z127,B4:B67,1)+COUNTIFS(I4:I67,Z127,M4:M67,1)</f>
        <v>0</v>
      </c>
      <c r="AD127" s="19">
        <f>COUNTIFS(F4:F67,Z127,B4:B67,0)+COUNTIFS(I4:I67,Z127,M4:M67,0)</f>
        <v>5</v>
      </c>
      <c r="AE127" s="19">
        <f>SUMIF(F4:F67,Z127,G4:G67)+SUMIF(I4:I67,Z127,H4:H67)</f>
        <v>5</v>
      </c>
      <c r="AF127" s="19">
        <f>SUMIF(F4:F67,Z127,H4:H67)+SUMIF(I4:I67,Z127,G4:G67)</f>
        <v>16</v>
      </c>
      <c r="AG127" s="19">
        <f>+AE127-AF127</f>
        <v>-11</v>
      </c>
      <c r="AH127" s="19">
        <f>(AB127*3)+AC127</f>
        <v>3</v>
      </c>
      <c r="AI127" s="19">
        <f t="shared" si="106"/>
        <v>2999.895</v>
      </c>
      <c r="AJ127" s="2"/>
      <c r="AW127" s="7"/>
    </row>
    <row r="128" spans="1:49" x14ac:dyDescent="0.25">
      <c r="A128" s="1"/>
      <c r="B128" s="2">
        <f t="shared" si="57"/>
        <v>0</v>
      </c>
      <c r="D128" s="61">
        <f t="shared" si="99"/>
        <v>9</v>
      </c>
      <c r="F128" s="9" t="s">
        <v>84</v>
      </c>
      <c r="G128" s="10">
        <v>0</v>
      </c>
      <c r="H128" s="10">
        <v>2</v>
      </c>
      <c r="I128" s="9" t="s">
        <v>85</v>
      </c>
      <c r="J128" s="6"/>
      <c r="K128" s="61">
        <f t="shared" si="100"/>
        <v>10</v>
      </c>
      <c r="M128" s="2">
        <f t="shared" si="98"/>
        <v>3</v>
      </c>
      <c r="O128" s="2" t="str">
        <f t="shared" si="59"/>
        <v>P</v>
      </c>
      <c r="P128" s="2" t="str">
        <f t="shared" si="60"/>
        <v>G</v>
      </c>
      <c r="S128" s="2" t="str">
        <f t="shared" si="101"/>
        <v>Eintracht FrankfurtVfL Wolfsburg</v>
      </c>
      <c r="T128" s="2" t="str">
        <f t="shared" si="102"/>
        <v>0-2</v>
      </c>
      <c r="V128" s="2" t="str">
        <f t="shared" si="105"/>
        <v>1899 Hoffenheim</v>
      </c>
      <c r="W128" s="2">
        <f t="shared" si="103"/>
        <v>12</v>
      </c>
      <c r="Y128" s="19">
        <f>RANK(AI128,$AI$125:$AI$142,0)+COUNTIF($AI$124:AI127,AI128)</f>
        <v>12</v>
      </c>
      <c r="Z128" s="19" t="str">
        <f t="shared" si="104"/>
        <v>1899 Hoffenheim</v>
      </c>
      <c r="AA128" s="19">
        <f>COUNTIFS(F4:F67,Z128,G4:G67,"&gt;=0")+COUNTIFS(I4:I67,Z128,H4:H67,"&gt;=0")</f>
        <v>6</v>
      </c>
      <c r="AB128" s="19">
        <f>COUNTIFS(F4:F67,Z128,B4:B67,3)+COUNTIFS(I4:I67,Z128,M4:M67,3)</f>
        <v>1</v>
      </c>
      <c r="AC128" s="19">
        <f>COUNTIFS(F4:F67,Z128,B4:B67,1)+COUNTIFS(I4:I67,Z128,M4:M67,1)</f>
        <v>2</v>
      </c>
      <c r="AD128" s="19">
        <f>COUNTIFS(F4:F67,Z128,B4:B67,0)+COUNTIFS(I4:I67,Z128,M4:M67,0)</f>
        <v>3</v>
      </c>
      <c r="AE128" s="19">
        <f>SUMIF(F4:F67,Z128,G4:G67)+SUMIF(I4:I67,Z128,H4:H67)</f>
        <v>4</v>
      </c>
      <c r="AF128" s="19">
        <f>SUMIF(F4:F67,Z128,H4:H67)+SUMIF(I4:I67,Z128,G4:G67)</f>
        <v>10</v>
      </c>
      <c r="AG128" s="19">
        <f t="shared" ref="AG128:AG142" si="107">+AE128-AF128</f>
        <v>-6</v>
      </c>
      <c r="AH128" s="19">
        <f>(AB128*3)+AC128</f>
        <v>5</v>
      </c>
      <c r="AI128" s="19">
        <f t="shared" si="106"/>
        <v>4999.9439999999995</v>
      </c>
      <c r="AJ128" s="2"/>
      <c r="AW128" s="7"/>
    </row>
    <row r="129" spans="1:49" x14ac:dyDescent="0.25">
      <c r="A129" s="1"/>
      <c r="B129" s="2">
        <f t="shared" si="57"/>
        <v>0</v>
      </c>
      <c r="D129" s="61">
        <f t="shared" si="99"/>
        <v>14</v>
      </c>
      <c r="F129" s="9" t="s">
        <v>87</v>
      </c>
      <c r="G129" s="10">
        <v>1</v>
      </c>
      <c r="H129" s="10">
        <v>2</v>
      </c>
      <c r="I129" s="9" t="s">
        <v>93</v>
      </c>
      <c r="J129" s="6"/>
      <c r="K129" s="61">
        <f t="shared" si="100"/>
        <v>7</v>
      </c>
      <c r="M129" s="2">
        <f t="shared" si="98"/>
        <v>3</v>
      </c>
      <c r="O129" s="2" t="str">
        <f t="shared" si="59"/>
        <v>P</v>
      </c>
      <c r="P129" s="2" t="str">
        <f t="shared" si="60"/>
        <v>G</v>
      </c>
      <c r="S129" s="2" t="str">
        <f t="shared" si="101"/>
        <v>Werder BremenFC Schalke 04</v>
      </c>
      <c r="T129" s="2" t="str">
        <f t="shared" si="102"/>
        <v>1-2</v>
      </c>
      <c r="V129" s="2" t="str">
        <f t="shared" si="105"/>
        <v>Bayer Leverkusen</v>
      </c>
      <c r="W129" s="2">
        <f t="shared" si="103"/>
        <v>6</v>
      </c>
      <c r="Y129" s="19">
        <f>RANK(AI129,$AI$125:$AI$142,0)+COUNTIF($AI$124:AI128,AI129)</f>
        <v>6</v>
      </c>
      <c r="Z129" s="19" t="str">
        <f t="shared" si="104"/>
        <v>Bayer Leverkusen</v>
      </c>
      <c r="AA129" s="19">
        <f>COUNTIFS(F4:F67,Z129,G4:G67,"&gt;=0")+COUNTIFS(I4:I67,Z129,H4:H67,"&gt;=0")</f>
        <v>6</v>
      </c>
      <c r="AB129" s="19">
        <f>COUNTIFS(F4:F67,Z129,B4:B67,3)+COUNTIFS(I4:I67,Z129,M4:M67,3)</f>
        <v>4</v>
      </c>
      <c r="AC129" s="19">
        <f>COUNTIFS(F4:F67,Z129,B4:B67,1)+COUNTIFS(I4:I67,Z129,M4:M67,1)</f>
        <v>1</v>
      </c>
      <c r="AD129" s="19">
        <f>COUNTIFS(F4:F67,Z129,B4:B67,0)+COUNTIFS(I4:I67,Z129,M4:M67,0)</f>
        <v>1</v>
      </c>
      <c r="AE129" s="19">
        <f>SUMIF(F4:F67,Z129,G4:G67)+SUMIF(I4:I67,Z129,H4:H67)</f>
        <v>11</v>
      </c>
      <c r="AF129" s="19">
        <f>SUMIF(F4:F67,Z129,H4:H67)+SUMIF(I4:I67,Z129,G4:G67)</f>
        <v>7</v>
      </c>
      <c r="AG129" s="19">
        <f t="shared" si="107"/>
        <v>4</v>
      </c>
      <c r="AH129" s="19">
        <f>(AB129*3)+AC129</f>
        <v>13</v>
      </c>
      <c r="AI129" s="19">
        <f t="shared" si="106"/>
        <v>13000.051000000001</v>
      </c>
      <c r="AJ129" s="2"/>
      <c r="AW129" s="7"/>
    </row>
    <row r="130" spans="1:49" x14ac:dyDescent="0.25">
      <c r="A130" s="1"/>
      <c r="B130" s="2">
        <f t="shared" si="57"/>
        <v>0</v>
      </c>
      <c r="D130" s="61">
        <f t="shared" si="99"/>
        <v>5</v>
      </c>
      <c r="F130" s="9" t="s">
        <v>86</v>
      </c>
      <c r="G130" s="10">
        <v>1</v>
      </c>
      <c r="H130" s="10">
        <v>5</v>
      </c>
      <c r="I130" s="9" t="s">
        <v>90</v>
      </c>
      <c r="J130" s="6"/>
      <c r="K130" s="61">
        <f t="shared" si="100"/>
        <v>16</v>
      </c>
      <c r="M130" s="2">
        <f t="shared" si="98"/>
        <v>3</v>
      </c>
      <c r="O130" s="2" t="str">
        <f t="shared" si="59"/>
        <v>P</v>
      </c>
      <c r="P130" s="2" t="str">
        <f t="shared" si="60"/>
        <v>G</v>
      </c>
      <c r="S130" s="2" t="str">
        <f t="shared" si="101"/>
        <v>1899 Hoffenheim1. FSV Mainz 05</v>
      </c>
      <c r="T130" s="2" t="str">
        <f t="shared" si="102"/>
        <v>1-5</v>
      </c>
      <c r="V130" s="2" t="str">
        <f t="shared" si="105"/>
        <v>Bayern München</v>
      </c>
      <c r="W130" s="2">
        <f t="shared" si="103"/>
        <v>1</v>
      </c>
      <c r="Y130" s="19">
        <f>RANK(AI130,$AI$125:$AI$142,0)+COUNTIF($AI$124:AI129,AI130)</f>
        <v>1</v>
      </c>
      <c r="Z130" s="19" t="str">
        <f t="shared" si="104"/>
        <v>Bayern München</v>
      </c>
      <c r="AA130" s="19">
        <f>COUNTIFS(F4:F67,Z130,G4:G67,"&gt;=0")+COUNTIFS(I4:I67,Z130,H4:H67,"&gt;=0")</f>
        <v>6</v>
      </c>
      <c r="AB130" s="19">
        <f>COUNTIFS(F4:F67,Z130,B4:B67,3)+COUNTIFS(I4:I67,Z130,M4:M67,3)</f>
        <v>4</v>
      </c>
      <c r="AC130" s="19">
        <f>COUNTIFS(F4:F67,Z130,B4:B67,1)+COUNTIFS(I4:I67,Z130,M4:M67,1)</f>
        <v>2</v>
      </c>
      <c r="AD130" s="19">
        <f>COUNTIFS(F4:F67,Z130,B4:B67,0)+COUNTIFS(I4:I67,Z130,M4:M67,0)</f>
        <v>0</v>
      </c>
      <c r="AE130" s="19">
        <f>SUMIF(F4:F67,Z130,G4:G67)+SUMIF(I4:I67,Z130,H4:H67)</f>
        <v>19</v>
      </c>
      <c r="AF130" s="19">
        <f>SUMIF(F4:F67,Z130,H4:H67)+SUMIF(I4:I67,Z130,G4:G67)</f>
        <v>6</v>
      </c>
      <c r="AG130" s="19">
        <f t="shared" si="107"/>
        <v>13</v>
      </c>
      <c r="AH130" s="19">
        <f t="shared" ref="AH130:AH142" si="108">(AB130*3)+AC130</f>
        <v>14</v>
      </c>
      <c r="AI130" s="19">
        <f t="shared" si="106"/>
        <v>14000.148999999999</v>
      </c>
      <c r="AJ130" s="2"/>
      <c r="AW130" s="7"/>
    </row>
    <row r="131" spans="1:49" x14ac:dyDescent="0.25">
      <c r="A131" s="1"/>
      <c r="B131" s="2">
        <f t="shared" si="57"/>
        <v>0</v>
      </c>
      <c r="D131" s="61">
        <f t="shared" si="99"/>
        <v>13</v>
      </c>
      <c r="F131" s="9" t="s">
        <v>89</v>
      </c>
      <c r="G131" s="10">
        <v>0</v>
      </c>
      <c r="H131" s="10">
        <v>4</v>
      </c>
      <c r="I131" s="9" t="s">
        <v>79</v>
      </c>
      <c r="J131" s="6"/>
      <c r="K131" s="61">
        <f t="shared" si="100"/>
        <v>3</v>
      </c>
      <c r="M131" s="2">
        <f t="shared" si="98"/>
        <v>3</v>
      </c>
      <c r="O131" s="2" t="str">
        <f t="shared" si="59"/>
        <v>P</v>
      </c>
      <c r="P131" s="2" t="str">
        <f t="shared" si="60"/>
        <v>G</v>
      </c>
      <c r="S131" s="2" t="str">
        <f t="shared" si="101"/>
        <v>Fortuna DüsseldorfBayern München</v>
      </c>
      <c r="T131" s="2" t="str">
        <f t="shared" si="102"/>
        <v>0-4</v>
      </c>
      <c r="V131" s="2" t="str">
        <f t="shared" si="105"/>
        <v>Bor. Mönchengladbach</v>
      </c>
      <c r="W131" s="2">
        <f t="shared" si="103"/>
        <v>5</v>
      </c>
      <c r="Y131" s="19">
        <f>RANK(AI131,$AI$125:$AI$142,0)+COUNTIF($AI$124:AI130,AI131)</f>
        <v>5</v>
      </c>
      <c r="Z131" s="19" t="str">
        <f t="shared" si="104"/>
        <v>Bor. Mönchengladbach</v>
      </c>
      <c r="AA131" s="19">
        <f>COUNTIFS(F4:F67,Z131,G4:G67,"&gt;=0")+COUNTIFS(I4:I67,Z131,H4:H67,"&gt;=0")</f>
        <v>6</v>
      </c>
      <c r="AB131" s="19">
        <f>COUNTIFS(F4:F67,Z131,B4:B67,3)+COUNTIFS(I4:I67,Z131,M4:M67,3)</f>
        <v>4</v>
      </c>
      <c r="AC131" s="19">
        <f>COUNTIFS(F4:F67,Z131,B4:B67,1)+COUNTIFS(I4:I67,Z131,M4:M67,1)</f>
        <v>1</v>
      </c>
      <c r="AD131" s="19">
        <f>COUNTIFS(F4:F67,Z131,B4:B67,0)+COUNTIFS(I4:I67,Z131,M4:M67,0)</f>
        <v>1</v>
      </c>
      <c r="AE131" s="19">
        <f>SUMIF(F4:F67,Z131,G4:G67)+SUMIF(I4:I67,Z131,H4:H67)</f>
        <v>10</v>
      </c>
      <c r="AF131" s="19">
        <f>SUMIF(F4:F67,Z131,H4:H67)+SUMIF(I4:I67,Z131,G4:G67)</f>
        <v>5</v>
      </c>
      <c r="AG131" s="19">
        <f t="shared" si="107"/>
        <v>5</v>
      </c>
      <c r="AH131" s="19">
        <f t="shared" si="108"/>
        <v>13</v>
      </c>
      <c r="AI131" s="19">
        <f t="shared" si="106"/>
        <v>13000.06</v>
      </c>
      <c r="AJ131" s="2"/>
      <c r="AW131" s="7"/>
    </row>
    <row r="132" spans="1:49" x14ac:dyDescent="0.25">
      <c r="A132" s="1"/>
      <c r="B132" s="2">
        <f t="shared" ref="B132:B194" si="109">IF(G132="","",IF(G132&gt;H132,3,IF(G132=H132,1,0)))</f>
        <v>3</v>
      </c>
      <c r="D132" s="61">
        <f t="shared" si="99"/>
        <v>15</v>
      </c>
      <c r="F132" s="9" t="s">
        <v>92</v>
      </c>
      <c r="G132" s="10">
        <v>4</v>
      </c>
      <c r="H132" s="10">
        <v>0</v>
      </c>
      <c r="I132" s="9" t="s">
        <v>88</v>
      </c>
      <c r="J132" s="6"/>
      <c r="K132" s="61">
        <f t="shared" si="100"/>
        <v>12</v>
      </c>
      <c r="M132" s="2">
        <f t="shared" si="98"/>
        <v>0</v>
      </c>
      <c r="O132" s="2" t="str">
        <f t="shared" si="59"/>
        <v>G</v>
      </c>
      <c r="P132" s="2" t="str">
        <f t="shared" si="60"/>
        <v>P</v>
      </c>
      <c r="S132" s="2" t="str">
        <f t="shared" si="101"/>
        <v>FC AugsburgHertha BSC</v>
      </c>
      <c r="T132" s="2" t="str">
        <f t="shared" si="102"/>
        <v>4-0</v>
      </c>
      <c r="V132" s="2" t="str">
        <f t="shared" si="105"/>
        <v>Borussia Dortmund</v>
      </c>
      <c r="W132" s="2">
        <f t="shared" si="103"/>
        <v>8</v>
      </c>
      <c r="Y132" s="19">
        <f>RANK(AI132,$AI$125:$AI$142,0)+COUNTIF($AI$124:AI131,AI132)</f>
        <v>8</v>
      </c>
      <c r="Z132" s="19" t="str">
        <f t="shared" si="104"/>
        <v>Borussia Dortmund</v>
      </c>
      <c r="AA132" s="19">
        <f>COUNTIFS(F4:F67,Z132,G4:G67,"&gt;=0")+COUNTIFS(I4:I67,Z132,H4:H67,"&gt;=0")</f>
        <v>6</v>
      </c>
      <c r="AB132" s="19">
        <f>COUNTIFS(F4:F67,Z132,B4:B67,3)+COUNTIFS(I4:I67,Z132,M4:M67,3)</f>
        <v>3</v>
      </c>
      <c r="AC132" s="19">
        <f>COUNTIFS(F4:F67,Z132,B4:B67,1)+COUNTIFS(I4:I67,Z132,M4:M67,1)</f>
        <v>2</v>
      </c>
      <c r="AD132" s="19">
        <f>COUNTIFS(F4:F67,Z132,B4:B67,0)+COUNTIFS(I4:I67,Z132,M4:M67,0)</f>
        <v>1</v>
      </c>
      <c r="AE132" s="19">
        <f>SUMIF(F4:F67,Z132,G4:G67)+SUMIF(I4:I67,Z132,H4:H67)</f>
        <v>17</v>
      </c>
      <c r="AF132" s="19">
        <f>SUMIF(F4:F67,Z132,H4:H67)+SUMIF(I4:I67,Z132,G4:G67)</f>
        <v>9</v>
      </c>
      <c r="AG132" s="19">
        <f t="shared" si="107"/>
        <v>8</v>
      </c>
      <c r="AH132" s="19">
        <f t="shared" si="108"/>
        <v>11</v>
      </c>
      <c r="AI132" s="19">
        <f t="shared" si="106"/>
        <v>11000.097</v>
      </c>
      <c r="AJ132" s="2"/>
      <c r="AW132" s="7"/>
    </row>
    <row r="133" spans="1:49" x14ac:dyDescent="0.25">
      <c r="A133" s="1"/>
      <c r="B133" s="2">
        <f t="shared" si="109"/>
        <v>3</v>
      </c>
      <c r="D133" s="61">
        <f t="shared" si="99"/>
        <v>11</v>
      </c>
      <c r="F133" s="9" t="s">
        <v>162</v>
      </c>
      <c r="G133" s="10">
        <v>2</v>
      </c>
      <c r="H133" s="10">
        <v>0</v>
      </c>
      <c r="I133" s="9" t="s">
        <v>82</v>
      </c>
      <c r="J133" s="6"/>
      <c r="K133" s="61">
        <f t="shared" si="100"/>
        <v>1</v>
      </c>
      <c r="M133" s="2">
        <f t="shared" si="98"/>
        <v>0</v>
      </c>
      <c r="O133" s="2" t="str">
        <f t="shared" ref="O133:O196" si="110">IF(B133="","",IF(B133=1,"N",IF(B133=0,"P",IF(B133=3,"G"))))</f>
        <v>G</v>
      </c>
      <c r="P133" s="2" t="str">
        <f t="shared" ref="P133:P196" si="111">IF(M133="","",IF(M133=1,"N",IF(M133=0,"P",IF(M133=3,"G"))))</f>
        <v>P</v>
      </c>
      <c r="S133" s="2" t="str">
        <f t="shared" si="101"/>
        <v>1. FC Union BerlinBor. Mönchengladbach</v>
      </c>
      <c r="T133" s="2" t="str">
        <f t="shared" si="102"/>
        <v>2-0</v>
      </c>
      <c r="V133" s="2" t="str">
        <f t="shared" si="105"/>
        <v>Eintracht Frankfurt</v>
      </c>
      <c r="W133" s="2">
        <f t="shared" si="103"/>
        <v>9</v>
      </c>
      <c r="Y133" s="19">
        <f>RANK(AI133,$AI$125:$AI$142,0)+COUNTIF($AI$124:AI132,AI133)</f>
        <v>9</v>
      </c>
      <c r="Z133" s="19" t="str">
        <f t="shared" si="104"/>
        <v>Eintracht Frankfurt</v>
      </c>
      <c r="AA133" s="19">
        <f>COUNTIFS(F4:F67,Z133,G4:G67,"&gt;=0")+COUNTIFS(I4:I67,Z133,H4:H67,"&gt;=0")</f>
        <v>6</v>
      </c>
      <c r="AB133" s="19">
        <f>COUNTIFS(F4:F67,Z133,B4:B67,3)+COUNTIFS(I4:I67,Z133,M4:M67,3)</f>
        <v>3</v>
      </c>
      <c r="AC133" s="19">
        <f>COUNTIFS(F4:F67,Z133,B4:B67,1)+COUNTIFS(I4:I67,Z133,M4:M67,1)</f>
        <v>1</v>
      </c>
      <c r="AD133" s="19">
        <f>COUNTIFS(F4:F67,Z133,B4:B67,0)+COUNTIFS(I4:I67,Z133,M4:M67,0)</f>
        <v>2</v>
      </c>
      <c r="AE133" s="19">
        <f>SUMIF(F4:F67,Z133,G4:G67)+SUMIF(I4:I67,Z133,H4:H67)</f>
        <v>9</v>
      </c>
      <c r="AF133" s="19">
        <f>SUMIF(F4:F67,Z133,H4:H67)+SUMIF(I4:I67,Z133,G4:G67)</f>
        <v>8</v>
      </c>
      <c r="AG133" s="19">
        <f t="shared" si="107"/>
        <v>1</v>
      </c>
      <c r="AH133" s="19">
        <f t="shared" si="108"/>
        <v>10</v>
      </c>
      <c r="AI133" s="19">
        <f t="shared" si="106"/>
        <v>10000.019</v>
      </c>
      <c r="AJ133" s="2"/>
      <c r="AW133" s="7"/>
    </row>
    <row r="134" spans="1:49" x14ac:dyDescent="0.25">
      <c r="A134" s="1"/>
      <c r="F134" s="107"/>
      <c r="G134" s="108"/>
      <c r="H134" s="108"/>
      <c r="I134" s="107"/>
      <c r="J134" s="6"/>
      <c r="O134" s="2" t="str">
        <f t="shared" si="110"/>
        <v/>
      </c>
      <c r="P134" s="2" t="str">
        <f t="shared" si="111"/>
        <v/>
      </c>
      <c r="V134" s="2" t="str">
        <f t="shared" si="105"/>
        <v>FC Augsburg</v>
      </c>
      <c r="W134" s="2">
        <f t="shared" si="103"/>
        <v>13</v>
      </c>
      <c r="Y134" s="19">
        <f>RANK(AI134,$AI$125:$AI$142,0)+COUNTIF($AI$124:AI133,AI134)</f>
        <v>13</v>
      </c>
      <c r="Z134" s="19" t="str">
        <f t="shared" si="104"/>
        <v>FC Augsburg</v>
      </c>
      <c r="AA134" s="19">
        <f>COUNTIFS(F4:F67,Z134,G4:G67,"&gt;=0")+COUNTIFS(I4:I67,Z134,H4:H67,"&gt;=0")</f>
        <v>6</v>
      </c>
      <c r="AB134" s="19">
        <f>COUNTIFS(F4:F67,Z134,B4:B67,3)+COUNTIFS(I4:I67,Z134,M4:M67,3)</f>
        <v>1</v>
      </c>
      <c r="AC134" s="19">
        <f>COUNTIFS(F4:F67,Z134,B4:B67,1)+COUNTIFS(I4:I67,Z134,M4:M67,1)</f>
        <v>2</v>
      </c>
      <c r="AD134" s="19">
        <f>COUNTIFS(F4:F67,Z134,B4:B67,0)+COUNTIFS(I4:I67,Z134,M4:M67,0)</f>
        <v>3</v>
      </c>
      <c r="AE134" s="19">
        <f>SUMIF(F4:F67,Z134,G4:G67)+SUMIF(I4:I67,Z134,H4:H67)</f>
        <v>7</v>
      </c>
      <c r="AF134" s="19">
        <f>SUMIF(F4:F67,Z134,H4:H67)+SUMIF(I4:I67,Z134,G4:G67)</f>
        <v>14</v>
      </c>
      <c r="AG134" s="19">
        <f t="shared" si="107"/>
        <v>-7</v>
      </c>
      <c r="AH134" s="19">
        <f t="shared" si="108"/>
        <v>5</v>
      </c>
      <c r="AI134" s="19">
        <f t="shared" si="106"/>
        <v>4999.9369999999999</v>
      </c>
      <c r="AJ134" s="2"/>
      <c r="AW134" s="7"/>
    </row>
    <row r="135" spans="1:49" x14ac:dyDescent="0.25">
      <c r="A135" s="1"/>
      <c r="B135" s="2" t="str">
        <f t="shared" si="109"/>
        <v/>
      </c>
      <c r="F135" s="154" t="s">
        <v>52</v>
      </c>
      <c r="G135" s="154"/>
      <c r="H135" s="154"/>
      <c r="I135" s="154"/>
      <c r="J135" s="6"/>
      <c r="M135" s="2" t="str">
        <f t="shared" ref="M135:M144" si="112">IF(H135="","",IF(H135&gt;G135,3,IF(H135=G135,1,0)))</f>
        <v/>
      </c>
      <c r="O135" s="2" t="str">
        <f t="shared" si="110"/>
        <v/>
      </c>
      <c r="P135" s="2" t="str">
        <f t="shared" si="111"/>
        <v/>
      </c>
      <c r="V135" s="2" t="str">
        <f t="shared" si="105"/>
        <v>FC Schalke 04</v>
      </c>
      <c r="W135" s="2">
        <f t="shared" si="103"/>
        <v>4</v>
      </c>
      <c r="Y135" s="19">
        <f>RANK(AI135,$AI$125:$AI$142,0)+COUNTIF($AI$124:AI134,AI135)</f>
        <v>4</v>
      </c>
      <c r="Z135" s="19" t="str">
        <f t="shared" si="104"/>
        <v>FC Schalke 04</v>
      </c>
      <c r="AA135" s="19">
        <f>COUNTIFS(F4:F67,Z135,G4:G67,"&gt;=0")+COUNTIFS(I4:I67,Z135,H4:H67,"&gt;=0")</f>
        <v>6</v>
      </c>
      <c r="AB135" s="19">
        <f>COUNTIFS(F4:F67,Z135,B4:B67,3)+COUNTIFS(I4:I67,Z135,M4:M67,3)</f>
        <v>4</v>
      </c>
      <c r="AC135" s="19">
        <f>COUNTIFS(F4:F67,Z135,B4:B67,1)+COUNTIFS(I4:I67,Z135,M4:M67,1)</f>
        <v>1</v>
      </c>
      <c r="AD135" s="19">
        <f>COUNTIFS(F4:F67,Z135,B4:B67,0)+COUNTIFS(I4:I67,Z135,M4:M67,0)</f>
        <v>1</v>
      </c>
      <c r="AE135" s="19">
        <f>SUMIF(F4:F67,Z135,G4:G67)+SUMIF(I4:I67,Z135,H4:H67)</f>
        <v>13</v>
      </c>
      <c r="AF135" s="19">
        <f>SUMIF(F4:F67,Z135,H4:H67)+SUMIF(I4:I67,Z135,G4:G67)</f>
        <v>6</v>
      </c>
      <c r="AG135" s="19">
        <f t="shared" si="107"/>
        <v>7</v>
      </c>
      <c r="AH135" s="19">
        <f t="shared" si="108"/>
        <v>13</v>
      </c>
      <c r="AI135" s="19">
        <f t="shared" si="106"/>
        <v>13000.083000000001</v>
      </c>
      <c r="AW135" s="7"/>
    </row>
    <row r="136" spans="1:49" x14ac:dyDescent="0.25">
      <c r="A136" s="1"/>
      <c r="B136" s="2">
        <f t="shared" si="109"/>
        <v>0</v>
      </c>
      <c r="D136" s="61">
        <f t="shared" ref="D136:D144" si="113">IFERROR(VLOOKUP(F136,$V$245:$W$262,2,FALSE),"")</f>
        <v>3</v>
      </c>
      <c r="F136" s="9" t="s">
        <v>79</v>
      </c>
      <c r="G136" s="10">
        <v>1</v>
      </c>
      <c r="H136" s="10">
        <v>2</v>
      </c>
      <c r="I136" s="9" t="s">
        <v>83</v>
      </c>
      <c r="J136" s="6"/>
      <c r="K136" s="61">
        <f t="shared" ref="K136:K144" si="114">IFERROR(VLOOKUP(I136,$V$245:$W$262,2,FALSE),"")</f>
        <v>9</v>
      </c>
      <c r="M136" s="2">
        <f t="shared" si="112"/>
        <v>3</v>
      </c>
      <c r="O136" s="2" t="str">
        <f t="shared" si="110"/>
        <v>P</v>
      </c>
      <c r="P136" s="2" t="str">
        <f t="shared" si="111"/>
        <v>G</v>
      </c>
      <c r="S136" s="2" t="str">
        <f t="shared" ref="S136:S144" si="115">IF(M136&lt;&gt;"",F136&amp;I136,"")</f>
        <v>Bayern MünchenBayer Leverkusen</v>
      </c>
      <c r="T136" s="2" t="str">
        <f t="shared" ref="T136:T144" si="116">IF(S136&lt;&gt;"",G136&amp;"-"&amp;H136,"")</f>
        <v>1-2</v>
      </c>
      <c r="V136" s="2" t="str">
        <f t="shared" si="105"/>
        <v>Fortuna Düsseldorf</v>
      </c>
      <c r="W136" s="2">
        <f t="shared" si="103"/>
        <v>14</v>
      </c>
      <c r="Y136" s="19">
        <f>RANK(AI136,$AI$125:$AI$142,0)+COUNTIF($AI$124:AI135,AI136)</f>
        <v>14</v>
      </c>
      <c r="Z136" s="19" t="str">
        <f t="shared" si="104"/>
        <v>Fortuna Düsseldorf</v>
      </c>
      <c r="AA136" s="19">
        <f>COUNTIFS(F4:F67,Z136,G4:G67,"&gt;=0")+COUNTIFS(I4:I67,Z136,H4:H67,"&gt;=0")</f>
        <v>6</v>
      </c>
      <c r="AB136" s="19">
        <f>COUNTIFS(F4:F67,Z136,B4:B67,3)+COUNTIFS(I4:I67,Z136,M4:M67,3)</f>
        <v>1</v>
      </c>
      <c r="AC136" s="19">
        <f>COUNTIFS(F4:F67,Z136,B4:B67,1)+COUNTIFS(I4:I67,Z136,M4:M67,1)</f>
        <v>1</v>
      </c>
      <c r="AD136" s="19">
        <f>COUNTIFS(F4:F67,Z136,B4:B67,0)+COUNTIFS(I4:I67,Z136,M4:M67,0)</f>
        <v>4</v>
      </c>
      <c r="AE136" s="19">
        <f>SUMIF(F4:F67,Z136,G4:G67)+SUMIF(I4:I67,Z136,H4:H67)</f>
        <v>8</v>
      </c>
      <c r="AF136" s="19">
        <f>SUMIF(F4:F67,Z136,H4:H67)+SUMIF(I4:I67,Z136,G4:G67)</f>
        <v>11</v>
      </c>
      <c r="AG136" s="19">
        <f t="shared" si="107"/>
        <v>-3</v>
      </c>
      <c r="AH136" s="19">
        <f t="shared" si="108"/>
        <v>4</v>
      </c>
      <c r="AI136" s="19">
        <f t="shared" si="106"/>
        <v>3999.9779999999996</v>
      </c>
      <c r="AJ136" s="2"/>
      <c r="AW136" s="7"/>
    </row>
    <row r="137" spans="1:49" x14ac:dyDescent="0.25">
      <c r="A137" s="1"/>
      <c r="B137" s="2">
        <f t="shared" si="109"/>
        <v>3</v>
      </c>
      <c r="D137" s="61">
        <f t="shared" si="113"/>
        <v>1</v>
      </c>
      <c r="F137" s="9" t="s">
        <v>82</v>
      </c>
      <c r="G137" s="10">
        <v>4</v>
      </c>
      <c r="H137" s="10">
        <v>2</v>
      </c>
      <c r="I137" s="9" t="s">
        <v>91</v>
      </c>
      <c r="J137" s="6"/>
      <c r="K137" s="61">
        <f t="shared" si="114"/>
        <v>4</v>
      </c>
      <c r="M137" s="2">
        <f t="shared" si="112"/>
        <v>0</v>
      </c>
      <c r="O137" s="2" t="str">
        <f t="shared" si="110"/>
        <v>G</v>
      </c>
      <c r="P137" s="2" t="str">
        <f t="shared" si="111"/>
        <v>P</v>
      </c>
      <c r="S137" s="2" t="str">
        <f t="shared" si="115"/>
        <v>Bor. MönchengladbachSC Freiburg</v>
      </c>
      <c r="T137" s="2" t="str">
        <f t="shared" si="116"/>
        <v>4-2</v>
      </c>
      <c r="V137" s="2" t="str">
        <f t="shared" si="105"/>
        <v>Hertha BSC</v>
      </c>
      <c r="W137" s="2">
        <f t="shared" si="103"/>
        <v>10</v>
      </c>
      <c r="Y137" s="19">
        <f>RANK(AI137,$AI$125:$AI$142,0)+COUNTIF($AI$124:AI136,AI137)</f>
        <v>10</v>
      </c>
      <c r="Z137" s="19" t="str">
        <f t="shared" si="104"/>
        <v>Hertha BSC</v>
      </c>
      <c r="AA137" s="19">
        <f>COUNTIFS(F4:F67,Z137,G4:G67,"&gt;=0")+COUNTIFS(I4:I67,Z137,H4:H67,"&gt;=0")</f>
        <v>6</v>
      </c>
      <c r="AB137" s="19">
        <f>COUNTIFS(F4:F67,Z137,B4:B67,3)+COUNTIFS(I4:I67,Z137,M4:M67,3)</f>
        <v>2</v>
      </c>
      <c r="AC137" s="19">
        <f>COUNTIFS(F4:F67,Z137,B4:B67,1)+COUNTIFS(I4:I67,Z137,M4:M67,1)</f>
        <v>1</v>
      </c>
      <c r="AD137" s="19">
        <f>COUNTIFS(F4:F67,Z137,B4:B67,0)+COUNTIFS(I4:I67,Z137,M4:M67,0)</f>
        <v>3</v>
      </c>
      <c r="AE137" s="19">
        <f>SUMIF(F4:F67,Z137,G4:G67)+SUMIF(I4:I67,Z137,H4:H67)</f>
        <v>9</v>
      </c>
      <c r="AF137" s="19">
        <f>SUMIF(F4:F67,Z137,H4:H67)+SUMIF(I4:I67,Z137,G4:G67)</f>
        <v>11</v>
      </c>
      <c r="AG137" s="19">
        <f t="shared" si="107"/>
        <v>-2</v>
      </c>
      <c r="AH137" s="19">
        <f t="shared" si="108"/>
        <v>7</v>
      </c>
      <c r="AI137" s="19">
        <f t="shared" si="106"/>
        <v>6999.9889999999996</v>
      </c>
      <c r="AJ137" s="2"/>
      <c r="AW137" s="7"/>
    </row>
    <row r="138" spans="1:49" x14ac:dyDescent="0.25">
      <c r="A138" s="1"/>
      <c r="B138" s="2">
        <f t="shared" si="109"/>
        <v>0</v>
      </c>
      <c r="D138" s="61">
        <f t="shared" si="113"/>
        <v>7</v>
      </c>
      <c r="F138" s="9" t="s">
        <v>85</v>
      </c>
      <c r="G138" s="10">
        <v>2</v>
      </c>
      <c r="H138" s="10">
        <v>3</v>
      </c>
      <c r="I138" s="9" t="s">
        <v>87</v>
      </c>
      <c r="J138" s="6"/>
      <c r="K138" s="61">
        <f t="shared" si="114"/>
        <v>14</v>
      </c>
      <c r="M138" s="2">
        <f t="shared" si="112"/>
        <v>3</v>
      </c>
      <c r="O138" s="2" t="str">
        <f t="shared" si="110"/>
        <v>P</v>
      </c>
      <c r="P138" s="2" t="str">
        <f t="shared" si="111"/>
        <v>G</v>
      </c>
      <c r="S138" s="2" t="str">
        <f t="shared" si="115"/>
        <v>VfL WolfsburgWerder Bremen</v>
      </c>
      <c r="T138" s="2" t="str">
        <f t="shared" si="116"/>
        <v>2-3</v>
      </c>
      <c r="V138" s="2" t="str">
        <f t="shared" si="105"/>
        <v>RB Leipzig</v>
      </c>
      <c r="W138" s="2">
        <f t="shared" si="103"/>
        <v>2</v>
      </c>
      <c r="Y138" s="19">
        <f>RANK(AI138,$AI$125:$AI$142,0)+COUNTIF($AI$124:AI137,AI138)</f>
        <v>2</v>
      </c>
      <c r="Z138" s="19" t="str">
        <f t="shared" si="104"/>
        <v>RB Leipzig</v>
      </c>
      <c r="AA138" s="19">
        <f>COUNTIFS(F4:F67,Z138,G4:G67,"&gt;=0")+COUNTIFS(I4:I67,Z138,H4:H67,"&gt;=0")</f>
        <v>6</v>
      </c>
      <c r="AB138" s="19">
        <f>COUNTIFS(F4:F67,Z138,B4:B67,3)+COUNTIFS(I4:I67,Z138,M4:M67,3)</f>
        <v>4</v>
      </c>
      <c r="AC138" s="19">
        <f>COUNTIFS(F4:F67,Z138,B4:B67,1)+COUNTIFS(I4:I67,Z138,M4:M67,1)</f>
        <v>1</v>
      </c>
      <c r="AD138" s="19">
        <f>COUNTIFS(F4:F67,Z138,B4:B67,0)+COUNTIFS(I4:I67,Z138,M4:M67,0)</f>
        <v>1</v>
      </c>
      <c r="AE138" s="19">
        <f>SUMIF(F4:F67,Z138,G4:G67)+SUMIF(I4:I67,Z138,H4:H67)</f>
        <v>14</v>
      </c>
      <c r="AF138" s="19">
        <f>SUMIF(F4:F67,Z138,H4:H67)+SUMIF(I4:I67,Z138,G4:G67)</f>
        <v>6</v>
      </c>
      <c r="AG138" s="19">
        <f t="shared" si="107"/>
        <v>8</v>
      </c>
      <c r="AH138" s="19">
        <f t="shared" si="108"/>
        <v>13</v>
      </c>
      <c r="AI138" s="19">
        <f t="shared" si="106"/>
        <v>13000.093999999999</v>
      </c>
      <c r="AJ138" s="2"/>
      <c r="AW138" s="7"/>
    </row>
    <row r="139" spans="1:49" x14ac:dyDescent="0.25">
      <c r="A139" s="1"/>
      <c r="B139" s="2">
        <f t="shared" si="109"/>
        <v>1</v>
      </c>
      <c r="D139" s="61">
        <f t="shared" si="113"/>
        <v>8</v>
      </c>
      <c r="F139" s="9" t="s">
        <v>86</v>
      </c>
      <c r="G139" s="10">
        <v>1</v>
      </c>
      <c r="H139" s="10">
        <v>1</v>
      </c>
      <c r="I139" s="9" t="s">
        <v>89</v>
      </c>
      <c r="J139" s="6"/>
      <c r="K139" s="61">
        <f t="shared" si="114"/>
        <v>16</v>
      </c>
      <c r="M139" s="2">
        <f t="shared" si="112"/>
        <v>1</v>
      </c>
      <c r="O139" s="2" t="str">
        <f t="shared" si="110"/>
        <v>N</v>
      </c>
      <c r="P139" s="2" t="str">
        <f t="shared" si="111"/>
        <v>N</v>
      </c>
      <c r="S139" s="2" t="str">
        <f t="shared" si="115"/>
        <v>1899 HoffenheimFortuna Düsseldorf</v>
      </c>
      <c r="T139" s="2" t="str">
        <f t="shared" si="116"/>
        <v>1-1</v>
      </c>
      <c r="V139" s="2" t="str">
        <f t="shared" si="105"/>
        <v>SC Freiburg</v>
      </c>
      <c r="W139" s="2">
        <f t="shared" si="103"/>
        <v>3</v>
      </c>
      <c r="Y139" s="19">
        <f>RANK(AI139,$AI$125:$AI$142,0)+COUNTIF($AI$124:AI138,AI139)</f>
        <v>3</v>
      </c>
      <c r="Z139" s="19" t="str">
        <f t="shared" si="104"/>
        <v>SC Freiburg</v>
      </c>
      <c r="AA139" s="19">
        <f>COUNTIFS(F4:F67,Z139,G4:G67,"&gt;=0")+COUNTIFS(I4:I67,Z139,H4:H67,"&gt;=0")</f>
        <v>6</v>
      </c>
      <c r="AB139" s="19">
        <f>COUNTIFS(F4:F67,Z139,B4:B67,3)+COUNTIFS(I4:I67,Z139,M4:M67,3)</f>
        <v>4</v>
      </c>
      <c r="AC139" s="19">
        <f>COUNTIFS(F4:F67,Z139,B4:B67,1)+COUNTIFS(I4:I67,Z139,M4:M67,1)</f>
        <v>1</v>
      </c>
      <c r="AD139" s="19">
        <f>COUNTIFS(F4:F67,Z139,B4:B67,0)+COUNTIFS(I4:I67,Z139,M4:M67,0)</f>
        <v>1</v>
      </c>
      <c r="AE139" s="19">
        <f>SUMIF(F4:F67,Z139,G4:G67)+SUMIF(I4:I67,Z139,H4:H67)</f>
        <v>13</v>
      </c>
      <c r="AF139" s="19">
        <f>SUMIF(F4:F67,Z139,H4:H67)+SUMIF(I4:I67,Z139,G4:G67)</f>
        <v>5</v>
      </c>
      <c r="AG139" s="19">
        <f t="shared" si="107"/>
        <v>8</v>
      </c>
      <c r="AH139" s="19">
        <f t="shared" si="108"/>
        <v>13</v>
      </c>
      <c r="AI139" s="19">
        <f t="shared" si="106"/>
        <v>13000.093000000001</v>
      </c>
      <c r="AJ139" s="2"/>
      <c r="AW139" s="7"/>
    </row>
    <row r="140" spans="1:49" x14ac:dyDescent="0.25">
      <c r="A140" s="1"/>
      <c r="B140" s="2">
        <f t="shared" si="109"/>
        <v>0</v>
      </c>
      <c r="D140" s="61">
        <f t="shared" si="113"/>
        <v>15</v>
      </c>
      <c r="F140" s="9" t="s">
        <v>88</v>
      </c>
      <c r="G140" s="10">
        <v>1</v>
      </c>
      <c r="H140" s="10">
        <v>2</v>
      </c>
      <c r="I140" s="9" t="s">
        <v>80</v>
      </c>
      <c r="J140" s="6"/>
      <c r="K140" s="61">
        <f t="shared" si="114"/>
        <v>6</v>
      </c>
      <c r="M140" s="2">
        <f t="shared" si="112"/>
        <v>3</v>
      </c>
      <c r="O140" s="2" t="str">
        <f t="shared" si="110"/>
        <v>P</v>
      </c>
      <c r="P140" s="2" t="str">
        <f t="shared" si="111"/>
        <v>G</v>
      </c>
      <c r="S140" s="2" t="str">
        <f t="shared" si="115"/>
        <v>Hertha BSCBorussia Dortmund</v>
      </c>
      <c r="T140" s="2" t="str">
        <f t="shared" si="116"/>
        <v>1-2</v>
      </c>
      <c r="V140" s="2" t="str">
        <f t="shared" si="105"/>
        <v>SC Paderborn 07</v>
      </c>
      <c r="W140" s="2">
        <f t="shared" si="103"/>
        <v>18</v>
      </c>
      <c r="Y140" s="19">
        <f>RANK(AI140,$AI$125:$AI$142,0)+COUNTIF($AI$124:AI139,AI140)</f>
        <v>18</v>
      </c>
      <c r="Z140" s="19" t="str">
        <f t="shared" si="104"/>
        <v>SC Paderborn 07</v>
      </c>
      <c r="AA140" s="19">
        <f>COUNTIFS(F4:F67,Z140,G4:G67,"&gt;=0")+COUNTIFS(I4:I67,Z140,H4:H67,"&gt;=0")</f>
        <v>6</v>
      </c>
      <c r="AB140" s="19">
        <f>COUNTIFS(F4:F67,Z140,B4:B67,3)+COUNTIFS(I4:I67,Z140,M4:M67,3)</f>
        <v>0</v>
      </c>
      <c r="AC140" s="19">
        <f>COUNTIFS(F4:F67,Z140,B4:B67,1)+COUNTIFS(I4:I67,Z140,M4:M67,1)</f>
        <v>1</v>
      </c>
      <c r="AD140" s="19">
        <f>COUNTIFS(F4:F67,Z140,B4:B67,0)+COUNTIFS(I4:I67,Z140,M4:M67,0)</f>
        <v>5</v>
      </c>
      <c r="AE140" s="19">
        <f>SUMIF(F4:F67,Z140,G4:G67)+SUMIF(I4:I67,Z140,H4:H67)</f>
        <v>8</v>
      </c>
      <c r="AF140" s="19">
        <f>SUMIF(F4:F67,Z140,H4:H67)+SUMIF(I4:I67,Z140,G4:G67)</f>
        <v>17</v>
      </c>
      <c r="AG140" s="19">
        <f t="shared" si="107"/>
        <v>-9</v>
      </c>
      <c r="AH140" s="19">
        <f t="shared" si="108"/>
        <v>1</v>
      </c>
      <c r="AI140" s="19">
        <f t="shared" si="106"/>
        <v>999.91800000000001</v>
      </c>
      <c r="AJ140" s="2"/>
      <c r="AW140" s="7"/>
    </row>
    <row r="141" spans="1:49" x14ac:dyDescent="0.25">
      <c r="A141" s="1"/>
      <c r="B141" s="2">
        <f t="shared" si="109"/>
        <v>3</v>
      </c>
      <c r="D141" s="61">
        <f t="shared" si="113"/>
        <v>13</v>
      </c>
      <c r="F141" s="9" t="s">
        <v>90</v>
      </c>
      <c r="G141" s="10">
        <v>2</v>
      </c>
      <c r="H141" s="10">
        <v>1</v>
      </c>
      <c r="I141" s="9" t="s">
        <v>84</v>
      </c>
      <c r="J141" s="6"/>
      <c r="K141" s="61">
        <f t="shared" si="114"/>
        <v>10</v>
      </c>
      <c r="M141" s="2">
        <f t="shared" si="112"/>
        <v>0</v>
      </c>
      <c r="O141" s="2" t="str">
        <f t="shared" si="110"/>
        <v>G</v>
      </c>
      <c r="P141" s="2" t="str">
        <f t="shared" si="111"/>
        <v>P</v>
      </c>
      <c r="S141" s="2" t="str">
        <f t="shared" si="115"/>
        <v>1. FSV Mainz 05Eintracht Frankfurt</v>
      </c>
      <c r="T141" s="2" t="str">
        <f t="shared" si="116"/>
        <v>2-1</v>
      </c>
      <c r="V141" s="2" t="str">
        <f t="shared" si="105"/>
        <v>VfL Wolfsburg</v>
      </c>
      <c r="W141" s="2">
        <f t="shared" si="103"/>
        <v>7</v>
      </c>
      <c r="Y141" s="19">
        <f>RANK(AI141,$AI$125:$AI$142,0)+COUNTIF($AI$124:AI140,AI141)</f>
        <v>7</v>
      </c>
      <c r="Z141" s="19" t="str">
        <f t="shared" si="104"/>
        <v>VfL Wolfsburg</v>
      </c>
      <c r="AA141" s="19">
        <f>COUNTIFS(F4:F67,Z141,G4:G67,"&gt;=0")+COUNTIFS(I4:I67,Z141,H4:H67,"&gt;=0")</f>
        <v>6</v>
      </c>
      <c r="AB141" s="19">
        <f>COUNTIFS(F4:F67,Z141,B4:B67,3)+COUNTIFS(I4:I67,Z141,M4:M67,3)</f>
        <v>3</v>
      </c>
      <c r="AC141" s="19">
        <f>COUNTIFS(F4:F67,Z141,B4:B67,1)+COUNTIFS(I4:I67,Z141,M4:M67,1)</f>
        <v>3</v>
      </c>
      <c r="AD141" s="19">
        <f>COUNTIFS(F4:F67,Z141,B4:B67,0)+COUNTIFS(I4:I67,Z141,M4:M67,0)</f>
        <v>0</v>
      </c>
      <c r="AE141" s="19">
        <f>SUMIF(F4:F67,Z141,G4:G67)+SUMIF(I4:I67,Z141,H4:H67)</f>
        <v>9</v>
      </c>
      <c r="AF141" s="19">
        <f>SUMIF(F4:F67,Z141,H4:H67)+SUMIF(I4:I67,Z141,G4:G67)</f>
        <v>4</v>
      </c>
      <c r="AG141" s="19">
        <f t="shared" si="107"/>
        <v>5</v>
      </c>
      <c r="AH141" s="19">
        <f t="shared" si="108"/>
        <v>12</v>
      </c>
      <c r="AI141" s="19">
        <f t="shared" si="106"/>
        <v>12000.058999999999</v>
      </c>
      <c r="AJ141" s="2"/>
      <c r="AW141" s="7"/>
    </row>
    <row r="142" spans="1:49" x14ac:dyDescent="0.25">
      <c r="A142" s="1"/>
      <c r="B142" s="2">
        <f t="shared" si="109"/>
        <v>3</v>
      </c>
      <c r="D142" s="61">
        <f t="shared" si="113"/>
        <v>5</v>
      </c>
      <c r="F142" s="9" t="s">
        <v>93</v>
      </c>
      <c r="G142" s="10">
        <v>2</v>
      </c>
      <c r="H142" s="10">
        <v>1</v>
      </c>
      <c r="I142" s="9" t="s">
        <v>162</v>
      </c>
      <c r="J142" s="6"/>
      <c r="K142" s="61">
        <f t="shared" si="114"/>
        <v>11</v>
      </c>
      <c r="M142" s="2">
        <f t="shared" si="112"/>
        <v>0</v>
      </c>
      <c r="O142" s="2" t="str">
        <f t="shared" si="110"/>
        <v>G</v>
      </c>
      <c r="P142" s="2" t="str">
        <f t="shared" si="111"/>
        <v>P</v>
      </c>
      <c r="S142" s="2" t="str">
        <f t="shared" si="115"/>
        <v>FC Schalke 041. FC Union Berlin</v>
      </c>
      <c r="T142" s="2" t="str">
        <f t="shared" si="116"/>
        <v>2-1</v>
      </c>
      <c r="V142" s="2" t="str">
        <f t="shared" si="105"/>
        <v>Werder Bremen</v>
      </c>
      <c r="W142" s="2">
        <f t="shared" si="103"/>
        <v>11</v>
      </c>
      <c r="Y142" s="19">
        <f>RANK(AI142,$AI$125:$AI$142,0)+COUNTIF($AI$124:AI141,AI142)</f>
        <v>11</v>
      </c>
      <c r="Z142" s="19" t="str">
        <f t="shared" si="104"/>
        <v>Werder Bremen</v>
      </c>
      <c r="AA142" s="19">
        <f>COUNTIFS(F4:F67,Z142,G4:G67,"&gt;=0")+COUNTIFS(I4:I67,Z142,H4:H67,"&gt;=0")</f>
        <v>6</v>
      </c>
      <c r="AB142" s="19">
        <f>COUNTIFS(F4:F67,Z142,B4:B67,3)+COUNTIFS(I4:I67,Z142,M4:M67,3)</f>
        <v>2</v>
      </c>
      <c r="AC142" s="19">
        <f>COUNTIFS(F4:F67,Z142,B4:B67,1)+COUNTIFS(I4:I67,Z142,M4:M67,1)</f>
        <v>1</v>
      </c>
      <c r="AD142" s="19">
        <f>COUNTIFS(F4:F67,Z142,B4:B67,0)+COUNTIFS(I4:I67,Z142,M4:M67,0)</f>
        <v>3</v>
      </c>
      <c r="AE142" s="19">
        <f>SUMIF(F4:F67,Z142,G4:G67)+SUMIF(I4:I67,Z142,H4:H67)</f>
        <v>10</v>
      </c>
      <c r="AF142" s="19">
        <f>SUMIF(F4:F67,Z142,H4:H67)+SUMIF(I4:I67,Z142,G4:G67)</f>
        <v>14</v>
      </c>
      <c r="AG142" s="19">
        <f t="shared" si="107"/>
        <v>-4</v>
      </c>
      <c r="AH142" s="19">
        <f t="shared" si="108"/>
        <v>7</v>
      </c>
      <c r="AI142" s="19">
        <f t="shared" si="106"/>
        <v>6999.97</v>
      </c>
      <c r="AJ142" s="2"/>
      <c r="AW142" s="7"/>
    </row>
    <row r="143" spans="1:49" x14ac:dyDescent="0.25">
      <c r="A143" s="1"/>
      <c r="B143" s="2">
        <f t="shared" si="109"/>
        <v>1</v>
      </c>
      <c r="D143" s="61">
        <f t="shared" si="113"/>
        <v>17</v>
      </c>
      <c r="F143" s="9" t="s">
        <v>161</v>
      </c>
      <c r="G143" s="10">
        <v>1</v>
      </c>
      <c r="H143" s="10">
        <v>1</v>
      </c>
      <c r="I143" s="9" t="s">
        <v>92</v>
      </c>
      <c r="J143" s="6"/>
      <c r="K143" s="61">
        <f t="shared" si="114"/>
        <v>12</v>
      </c>
      <c r="M143" s="2">
        <f t="shared" si="112"/>
        <v>1</v>
      </c>
      <c r="O143" s="2" t="str">
        <f t="shared" si="110"/>
        <v>N</v>
      </c>
      <c r="P143" s="2" t="str">
        <f t="shared" si="111"/>
        <v>N</v>
      </c>
      <c r="S143" s="2" t="str">
        <f t="shared" si="115"/>
        <v>1. FC KölnFC Augsburg</v>
      </c>
      <c r="T143" s="2" t="str">
        <f t="shared" si="116"/>
        <v>1-1</v>
      </c>
      <c r="AJ143" s="2"/>
      <c r="AW143" s="7"/>
    </row>
    <row r="144" spans="1:49" x14ac:dyDescent="0.25">
      <c r="A144" s="1"/>
      <c r="B144" s="2">
        <f t="shared" si="109"/>
        <v>0</v>
      </c>
      <c r="D144" s="61">
        <f t="shared" si="113"/>
        <v>18</v>
      </c>
      <c r="F144" s="9" t="s">
        <v>148</v>
      </c>
      <c r="G144" s="10">
        <v>2</v>
      </c>
      <c r="H144" s="10">
        <v>3</v>
      </c>
      <c r="I144" s="9" t="s">
        <v>81</v>
      </c>
      <c r="J144" s="6"/>
      <c r="K144" s="61">
        <f t="shared" si="114"/>
        <v>2</v>
      </c>
      <c r="M144" s="2">
        <f t="shared" si="112"/>
        <v>3</v>
      </c>
      <c r="O144" s="2" t="str">
        <f t="shared" si="110"/>
        <v>P</v>
      </c>
      <c r="P144" s="2" t="str">
        <f t="shared" si="111"/>
        <v>G</v>
      </c>
      <c r="S144" s="2" t="str">
        <f t="shared" si="115"/>
        <v>SC Paderborn 07RB Leipzig</v>
      </c>
      <c r="T144" s="2" t="str">
        <f t="shared" si="116"/>
        <v>2-3</v>
      </c>
      <c r="W144" s="18">
        <v>7</v>
      </c>
      <c r="Y144" s="19"/>
      <c r="Z144" s="19" t="s">
        <v>1</v>
      </c>
      <c r="AA144" s="19" t="s">
        <v>2</v>
      </c>
      <c r="AB144" s="19" t="s">
        <v>3</v>
      </c>
      <c r="AC144" s="19" t="s">
        <v>4</v>
      </c>
      <c r="AD144" s="19" t="s">
        <v>5</v>
      </c>
      <c r="AE144" s="19" t="s">
        <v>6</v>
      </c>
      <c r="AF144" s="19" t="s">
        <v>7</v>
      </c>
      <c r="AG144" s="19" t="s">
        <v>8</v>
      </c>
      <c r="AH144" s="19" t="s">
        <v>9</v>
      </c>
      <c r="AI144" s="19" t="s">
        <v>0</v>
      </c>
      <c r="AJ144" s="2"/>
      <c r="AW144" s="7"/>
    </row>
    <row r="145" spans="1:49" x14ac:dyDescent="0.25">
      <c r="A145" s="1"/>
      <c r="F145" s="107"/>
      <c r="G145" s="108"/>
      <c r="H145" s="108"/>
      <c r="I145" s="107"/>
      <c r="J145" s="6"/>
      <c r="O145" s="2" t="str">
        <f t="shared" si="110"/>
        <v/>
      </c>
      <c r="P145" s="2" t="str">
        <f t="shared" si="111"/>
        <v/>
      </c>
      <c r="V145" s="2" t="str">
        <f>CONCATENATE(Z145)</f>
        <v>1. FC Köln</v>
      </c>
      <c r="W145" s="2">
        <f t="shared" ref="W145:W162" si="117">Y145</f>
        <v>17</v>
      </c>
      <c r="Y145" s="19">
        <f>RANK(AI145,$AI$145:$AI$162,0)+COUNTIF($AI$144:AI144,AI145)</f>
        <v>17</v>
      </c>
      <c r="Z145" s="19" t="str">
        <f t="shared" ref="Z145:Z162" si="118">CONCATENATE(Z5)</f>
        <v>1. FC Köln</v>
      </c>
      <c r="AA145" s="19">
        <f>COUNTIFS(F4:F78,Z145,G4:G78,"&gt;=0")+COUNTIFS(I4:I78,Z145,H4:H78,"&gt;=0")</f>
        <v>7</v>
      </c>
      <c r="AB145" s="19">
        <f>COUNTIFS(F4:F78,Z145,B4:B78,3)+COUNTIFS(I4:I78,Z145,M4:M78,3)</f>
        <v>1</v>
      </c>
      <c r="AC145" s="19">
        <f>COUNTIFS(F4:F78,Z145,B4:B78,1)+COUNTIFS(I4:I78,Z145,M4:M78,1)</f>
        <v>1</v>
      </c>
      <c r="AD145" s="19">
        <f>COUNTIFS(F4:F78,Z145,B4:B78,0)+COUNTIFS(I4:I78,Z145,M4:M78,0)</f>
        <v>5</v>
      </c>
      <c r="AE145" s="19">
        <f>SUMIF(F4:F78,Z145,G4:G78)+SUMIF(I4:I78,Z145,H4:H78)</f>
        <v>5</v>
      </c>
      <c r="AF145" s="19">
        <f>SUMIF(F4:F78,Z145,H4:H78)+SUMIF(I4:I78,Z145,G4:G78)</f>
        <v>16</v>
      </c>
      <c r="AG145" s="19">
        <f>+AE145-AF145</f>
        <v>-11</v>
      </c>
      <c r="AH145" s="19">
        <f>(AB145*3)+AC145</f>
        <v>4</v>
      </c>
      <c r="AI145" s="19">
        <f>SUM(AH145*1000+(AG145)/100+(AE145)/1000)</f>
        <v>3999.895</v>
      </c>
      <c r="AJ145" s="2"/>
      <c r="AW145" s="7"/>
    </row>
    <row r="146" spans="1:49" x14ac:dyDescent="0.25">
      <c r="A146" s="1"/>
      <c r="B146" s="2" t="str">
        <f t="shared" si="109"/>
        <v/>
      </c>
      <c r="F146" s="154" t="s">
        <v>53</v>
      </c>
      <c r="G146" s="154"/>
      <c r="H146" s="154"/>
      <c r="I146" s="154"/>
      <c r="J146" s="6"/>
      <c r="M146" s="2" t="str">
        <f t="shared" ref="M146:M155" si="119">IF(H146="","",IF(H146&gt;G146,3,IF(H146=G146,1,0)))</f>
        <v/>
      </c>
      <c r="O146" s="2" t="str">
        <f t="shared" si="110"/>
        <v/>
      </c>
      <c r="P146" s="2" t="str">
        <f t="shared" si="111"/>
        <v/>
      </c>
      <c r="V146" s="2" t="str">
        <f t="shared" ref="V146:V162" si="120">CONCATENATE(Z146)</f>
        <v>1. FC Union Berlin</v>
      </c>
      <c r="W146" s="2">
        <f t="shared" si="117"/>
        <v>16</v>
      </c>
      <c r="Y146" s="19">
        <f>RANK(AI146,$AI$145:$AI$162,0)+COUNTIF($AI$144:AI145,AI146)</f>
        <v>16</v>
      </c>
      <c r="Z146" s="19" t="str">
        <f t="shared" si="118"/>
        <v>1. FC Union Berlin</v>
      </c>
      <c r="AA146" s="19">
        <f>COUNTIFS(F4:F78,Z146,G4:G78,"&gt;=0")+COUNTIFS(I4:I78,Z146,H4:H78,"&gt;=0")</f>
        <v>7</v>
      </c>
      <c r="AB146" s="19">
        <f>COUNTIFS(F4:F78,Z146,B4:B78,3)+COUNTIFS(I4:I78,Z146,M4:M78,3)</f>
        <v>1</v>
      </c>
      <c r="AC146" s="19">
        <f>COUNTIFS(F4:F78,Z146,B4:B78,1)+COUNTIFS(I4:I78,Z146,M4:M78,1)</f>
        <v>1</v>
      </c>
      <c r="AD146" s="19">
        <f>COUNTIFS(F4:F78,Z146,B4:B78,0)+COUNTIFS(I4:I78,Z146,M4:M78,0)</f>
        <v>5</v>
      </c>
      <c r="AE146" s="19">
        <f>SUMIF(F4:F78,Z146,G4:G78)+SUMIF(I4:I78,Z146,H4:H78)</f>
        <v>6</v>
      </c>
      <c r="AF146" s="19">
        <f>SUMIF(F4:F78,Z146,H4:H78)+SUMIF(I4:I78,Z146,G4:G78)</f>
        <v>13</v>
      </c>
      <c r="AG146" s="19">
        <f>+AE146-AF146</f>
        <v>-7</v>
      </c>
      <c r="AH146" s="19">
        <f>(AB146*3)+AC146</f>
        <v>4</v>
      </c>
      <c r="AI146" s="19">
        <f>SUM(AH146*1000+(AG146)/100+(AE146)/1000)</f>
        <v>3999.9359999999997</v>
      </c>
      <c r="AJ146" s="2"/>
      <c r="AW146" s="7"/>
    </row>
    <row r="147" spans="1:49" x14ac:dyDescent="0.25">
      <c r="A147" s="1"/>
      <c r="B147" s="2">
        <f t="shared" si="109"/>
        <v>3</v>
      </c>
      <c r="D147" s="61">
        <f t="shared" ref="D147:D155" si="121">IFERROR(VLOOKUP(F147,$V$265:$W$282,2,FALSE),"")</f>
        <v>5</v>
      </c>
      <c r="F147" s="9" t="s">
        <v>80</v>
      </c>
      <c r="G147" s="10">
        <v>5</v>
      </c>
      <c r="H147" s="10">
        <v>0</v>
      </c>
      <c r="I147" s="9" t="s">
        <v>89</v>
      </c>
      <c r="J147" s="6"/>
      <c r="K147" s="61">
        <f t="shared" ref="K147:K155" si="122">IFERROR(VLOOKUP(I147,$V$265:$W$282,2,FALSE),"")</f>
        <v>15</v>
      </c>
      <c r="M147" s="2">
        <f t="shared" si="119"/>
        <v>0</v>
      </c>
      <c r="O147" s="2" t="str">
        <f t="shared" si="110"/>
        <v>G</v>
      </c>
      <c r="P147" s="2" t="str">
        <f t="shared" si="111"/>
        <v>P</v>
      </c>
      <c r="S147" s="2" t="str">
        <f t="shared" ref="S147:S155" si="123">IF(M147&lt;&gt;"",F147&amp;I147,"")</f>
        <v>Borussia DortmundFortuna Düsseldorf</v>
      </c>
      <c r="T147" s="2" t="str">
        <f t="shared" ref="T147:T155" si="124">IF(S147&lt;&gt;"",G147&amp;"-"&amp;H147,"")</f>
        <v>5-0</v>
      </c>
      <c r="V147" s="2" t="str">
        <f t="shared" si="120"/>
        <v>1. FSV Mainz 05</v>
      </c>
      <c r="W147" s="2">
        <f t="shared" si="117"/>
        <v>13</v>
      </c>
      <c r="Y147" s="19">
        <f>RANK(AI147,$AI$145:$AI$162,0)+COUNTIF($AI$144:AI146,AI147)</f>
        <v>13</v>
      </c>
      <c r="Z147" s="19" t="str">
        <f t="shared" si="118"/>
        <v>1. FSV Mainz 05</v>
      </c>
      <c r="AA147" s="19">
        <f>COUNTIFS(F4:F78,Z147,G4:G78,"&gt;=0")+COUNTIFS(I4:I78,Z147,H4:H78,"&gt;=0")</f>
        <v>7</v>
      </c>
      <c r="AB147" s="19">
        <f>COUNTIFS(F4:F78,Z147,B4:B78,3)+COUNTIFS(I4:I78,Z147,M4:M78,3)</f>
        <v>2</v>
      </c>
      <c r="AC147" s="19">
        <f>COUNTIFS(F4:F78,Z147,B4:B78,1)+COUNTIFS(I4:I78,Z147,M4:M78,1)</f>
        <v>0</v>
      </c>
      <c r="AD147" s="19">
        <f>COUNTIFS(F4:F78,Z147,B4:B78,0)+COUNTIFS(I4:I78,Z147,M4:M78,0)</f>
        <v>5</v>
      </c>
      <c r="AE147" s="19">
        <f>SUMIF(F4:F78,Z147,G4:G78)+SUMIF(I4:I78,Z147,H4:H78)</f>
        <v>7</v>
      </c>
      <c r="AF147" s="19">
        <f>SUMIF(F4:F78,Z147,H4:H78)+SUMIF(I4:I78,Z147,G4:G78)</f>
        <v>17</v>
      </c>
      <c r="AG147" s="19">
        <f>+AE147-AF147</f>
        <v>-10</v>
      </c>
      <c r="AH147" s="19">
        <f>(AB147*3)+AC147</f>
        <v>6</v>
      </c>
      <c r="AI147" s="19">
        <f t="shared" ref="AI147:AI162" si="125">SUM(AH147*1000+(AG147)/100+(AE147)/1000)</f>
        <v>5999.9069999999992</v>
      </c>
      <c r="AJ147" s="2"/>
      <c r="AW147" s="7"/>
    </row>
    <row r="148" spans="1:49" x14ac:dyDescent="0.25">
      <c r="A148" s="1"/>
      <c r="B148" s="2">
        <f t="shared" si="109"/>
        <v>3</v>
      </c>
      <c r="D148" s="61">
        <f t="shared" si="121"/>
        <v>2</v>
      </c>
      <c r="F148" s="9" t="s">
        <v>81</v>
      </c>
      <c r="G148" s="10">
        <v>3</v>
      </c>
      <c r="H148" s="10">
        <v>1</v>
      </c>
      <c r="I148" s="9" t="s">
        <v>86</v>
      </c>
      <c r="J148" s="6"/>
      <c r="K148" s="61">
        <f t="shared" si="122"/>
        <v>8</v>
      </c>
      <c r="M148" s="2">
        <f t="shared" si="119"/>
        <v>0</v>
      </c>
      <c r="O148" s="2" t="str">
        <f t="shared" si="110"/>
        <v>G</v>
      </c>
      <c r="P148" s="2" t="str">
        <f t="shared" si="111"/>
        <v>P</v>
      </c>
      <c r="S148" s="2" t="str">
        <f t="shared" si="123"/>
        <v>RB Leipzig1899 Hoffenheim</v>
      </c>
      <c r="T148" s="2" t="str">
        <f t="shared" si="124"/>
        <v>3-1</v>
      </c>
      <c r="V148" s="2" t="str">
        <f t="shared" si="120"/>
        <v>1899 Hoffenheim</v>
      </c>
      <c r="W148" s="2">
        <f t="shared" si="117"/>
        <v>12</v>
      </c>
      <c r="Y148" s="19">
        <f>RANK(AI148,$AI$145:$AI$162,0)+COUNTIF($AI$144:AI147,AI148)</f>
        <v>12</v>
      </c>
      <c r="Z148" s="19" t="str">
        <f t="shared" si="118"/>
        <v>1899 Hoffenheim</v>
      </c>
      <c r="AA148" s="19">
        <f>COUNTIFS(F4:F78,Z148,G4:G78,"&gt;=0")+COUNTIFS(I4:I78,Z148,H4:H78,"&gt;=0")</f>
        <v>7</v>
      </c>
      <c r="AB148" s="19">
        <f>COUNTIFS(F4:F78,Z148,B4:B78,3)+COUNTIFS(I4:I78,Z148,M4:M78,3)</f>
        <v>2</v>
      </c>
      <c r="AC148" s="19">
        <f>COUNTIFS(F4:F78,Z148,B4:B78,1)+COUNTIFS(I4:I78,Z148,M4:M78,1)</f>
        <v>2</v>
      </c>
      <c r="AD148" s="19">
        <f>COUNTIFS(F4:F78,Z148,B4:B78,0)+COUNTIFS(I4:I78,Z148,M4:M78,0)</f>
        <v>3</v>
      </c>
      <c r="AE148" s="19">
        <f>SUMIF(F4:F78,Z148,G4:G78)+SUMIF(I4:I78,Z148,H4:H78)</f>
        <v>6</v>
      </c>
      <c r="AF148" s="19">
        <f>SUMIF(F4:F78,Z148,H4:H78)+SUMIF(I4:I78,Z148,G4:G78)</f>
        <v>11</v>
      </c>
      <c r="AG148" s="19">
        <f t="shared" ref="AG148:AG162" si="126">+AE148-AF148</f>
        <v>-5</v>
      </c>
      <c r="AH148" s="19">
        <f>(AB148*3)+AC148</f>
        <v>8</v>
      </c>
      <c r="AI148" s="19">
        <f t="shared" si="125"/>
        <v>7999.9560000000001</v>
      </c>
      <c r="AJ148" s="2"/>
      <c r="AW148" s="7"/>
    </row>
    <row r="149" spans="1:49" x14ac:dyDescent="0.25">
      <c r="A149" s="1"/>
      <c r="B149" s="2">
        <f t="shared" si="109"/>
        <v>3</v>
      </c>
      <c r="D149" s="61">
        <f t="shared" si="121"/>
        <v>7</v>
      </c>
      <c r="F149" s="9" t="s">
        <v>83</v>
      </c>
      <c r="G149" s="10">
        <v>2</v>
      </c>
      <c r="H149" s="10">
        <v>1</v>
      </c>
      <c r="I149" s="9" t="s">
        <v>93</v>
      </c>
      <c r="J149" s="6"/>
      <c r="K149" s="61">
        <f t="shared" si="122"/>
        <v>3</v>
      </c>
      <c r="M149" s="2">
        <f t="shared" si="119"/>
        <v>0</v>
      </c>
      <c r="O149" s="2" t="str">
        <f t="shared" si="110"/>
        <v>G</v>
      </c>
      <c r="P149" s="2" t="str">
        <f t="shared" si="111"/>
        <v>P</v>
      </c>
      <c r="S149" s="2" t="str">
        <f t="shared" si="123"/>
        <v>Bayer LeverkusenFC Schalke 04</v>
      </c>
      <c r="T149" s="2" t="str">
        <f t="shared" si="124"/>
        <v>2-1</v>
      </c>
      <c r="V149" s="2" t="str">
        <f t="shared" si="120"/>
        <v>Bayer Leverkusen</v>
      </c>
      <c r="W149" s="2">
        <f t="shared" si="117"/>
        <v>7</v>
      </c>
      <c r="Y149" s="19">
        <f>RANK(AI149,$AI$145:$AI$162,0)+COUNTIF($AI$144:AI148,AI149)</f>
        <v>7</v>
      </c>
      <c r="Z149" s="19" t="str">
        <f t="shared" si="118"/>
        <v>Bayer Leverkusen</v>
      </c>
      <c r="AA149" s="19">
        <f>COUNTIFS(F4:F78,Z149,G4:G78,"&gt;=0")+COUNTIFS(I4:I78,Z149,H4:H78,"&gt;=0")</f>
        <v>7</v>
      </c>
      <c r="AB149" s="19">
        <f>COUNTIFS(F4:F78,Z149,B4:B78,3)+COUNTIFS(I4:I78,Z149,M4:M78,3)</f>
        <v>4</v>
      </c>
      <c r="AC149" s="19">
        <f>COUNTIFS(F4:F78,Z149,B4:B78,1)+COUNTIFS(I4:I78,Z149,M4:M78,1)</f>
        <v>2</v>
      </c>
      <c r="AD149" s="19">
        <f>COUNTIFS(F4:F78,Z149,B4:B78,0)+COUNTIFS(I4:I78,Z149,M4:M78,0)</f>
        <v>1</v>
      </c>
      <c r="AE149" s="19">
        <f>SUMIF(F4:F78,Z149,G4:G78)+SUMIF(I4:I78,Z149,H4:H78)</f>
        <v>12</v>
      </c>
      <c r="AF149" s="19">
        <f>SUMIF(F4:F78,Z149,H4:H78)+SUMIF(I4:I78,Z149,G4:G78)</f>
        <v>8</v>
      </c>
      <c r="AG149" s="19">
        <f t="shared" si="126"/>
        <v>4</v>
      </c>
      <c r="AH149" s="19">
        <f>(AB149*3)+AC149</f>
        <v>14</v>
      </c>
      <c r="AI149" s="19">
        <f t="shared" si="125"/>
        <v>14000.052000000001</v>
      </c>
      <c r="AJ149" s="2"/>
      <c r="AW149" s="7"/>
    </row>
    <row r="150" spans="1:49" x14ac:dyDescent="0.25">
      <c r="A150" s="1"/>
      <c r="B150" s="2">
        <f t="shared" si="109"/>
        <v>3</v>
      </c>
      <c r="D150" s="61">
        <f t="shared" si="121"/>
        <v>1</v>
      </c>
      <c r="F150" s="9" t="s">
        <v>82</v>
      </c>
      <c r="G150" s="10">
        <v>2</v>
      </c>
      <c r="H150" s="10">
        <v>1</v>
      </c>
      <c r="I150" s="9" t="s">
        <v>79</v>
      </c>
      <c r="J150" s="6"/>
      <c r="K150" s="61">
        <f t="shared" si="122"/>
        <v>4</v>
      </c>
      <c r="M150" s="2">
        <f t="shared" si="119"/>
        <v>0</v>
      </c>
      <c r="O150" s="2" t="str">
        <f t="shared" si="110"/>
        <v>G</v>
      </c>
      <c r="P150" s="2" t="str">
        <f t="shared" si="111"/>
        <v>P</v>
      </c>
      <c r="S150" s="2" t="str">
        <f t="shared" si="123"/>
        <v>Bor. MönchengladbachBayern München</v>
      </c>
      <c r="T150" s="2" t="str">
        <f t="shared" si="124"/>
        <v>2-1</v>
      </c>
      <c r="V150" s="2" t="str">
        <f t="shared" si="120"/>
        <v>Bayern München</v>
      </c>
      <c r="W150" s="2">
        <f t="shared" si="117"/>
        <v>3</v>
      </c>
      <c r="Y150" s="19">
        <f>RANK(AI150,$AI$145:$AI$162,0)+COUNTIF($AI$144:AI149,AI150)</f>
        <v>3</v>
      </c>
      <c r="Z150" s="19" t="str">
        <f t="shared" si="118"/>
        <v>Bayern München</v>
      </c>
      <c r="AA150" s="19">
        <f>COUNTIFS(F4:F78,Z150,G4:G78,"&gt;=0")+COUNTIFS(I4:I78,Z150,H4:H78,"&gt;=0")</f>
        <v>7</v>
      </c>
      <c r="AB150" s="19">
        <f>COUNTIFS(F4:F78,Z150,B4:B78,3)+COUNTIFS(I4:I78,Z150,M4:M78,3)</f>
        <v>4</v>
      </c>
      <c r="AC150" s="19">
        <f>COUNTIFS(F4:F78,Z150,B4:B78,1)+COUNTIFS(I4:I78,Z150,M4:M78,1)</f>
        <v>2</v>
      </c>
      <c r="AD150" s="19">
        <f>COUNTIFS(F4:F78,Z150,B4:B78,0)+COUNTIFS(I4:I78,Z150,M4:M78,0)</f>
        <v>1</v>
      </c>
      <c r="AE150" s="19">
        <f>SUMIF(F4:F78,Z150,G4:G78)+SUMIF(I4:I78,Z150,H4:H78)</f>
        <v>20</v>
      </c>
      <c r="AF150" s="19">
        <f>SUMIF(F4:F78,Z150,H4:H78)+SUMIF(I4:I78,Z150,G4:G78)</f>
        <v>8</v>
      </c>
      <c r="AG150" s="19">
        <f t="shared" si="126"/>
        <v>12</v>
      </c>
      <c r="AH150" s="19">
        <f t="shared" ref="AH150:AH162" si="127">(AB150*3)+AC150</f>
        <v>14</v>
      </c>
      <c r="AI150" s="19">
        <f t="shared" si="125"/>
        <v>14000.140000000001</v>
      </c>
      <c r="AJ150" s="2"/>
      <c r="AW150" s="7"/>
    </row>
    <row r="151" spans="1:49" x14ac:dyDescent="0.25">
      <c r="A151" s="1"/>
      <c r="B151" s="2">
        <f t="shared" si="109"/>
        <v>1</v>
      </c>
      <c r="D151" s="61">
        <f t="shared" si="121"/>
        <v>10</v>
      </c>
      <c r="F151" s="9" t="s">
        <v>84</v>
      </c>
      <c r="G151" s="10">
        <v>2</v>
      </c>
      <c r="H151" s="10">
        <v>2</v>
      </c>
      <c r="I151" s="9" t="s">
        <v>88</v>
      </c>
      <c r="J151" s="6"/>
      <c r="K151" s="61">
        <f t="shared" si="122"/>
        <v>16</v>
      </c>
      <c r="M151" s="2">
        <f t="shared" si="119"/>
        <v>1</v>
      </c>
      <c r="O151" s="2" t="str">
        <f t="shared" si="110"/>
        <v>N</v>
      </c>
      <c r="P151" s="2" t="str">
        <f t="shared" si="111"/>
        <v>N</v>
      </c>
      <c r="S151" s="2" t="str">
        <f t="shared" si="123"/>
        <v>Eintracht FrankfurtHertha BSC</v>
      </c>
      <c r="T151" s="2" t="str">
        <f t="shared" si="124"/>
        <v>2-2</v>
      </c>
      <c r="V151" s="2" t="str">
        <f t="shared" si="120"/>
        <v>Bor. Mönchengladbach</v>
      </c>
      <c r="W151" s="2">
        <f t="shared" si="117"/>
        <v>1</v>
      </c>
      <c r="Y151" s="19">
        <f>RANK(AI151,$AI$145:$AI$162,0)+COUNTIF($AI$144:AI150,AI151)</f>
        <v>1</v>
      </c>
      <c r="Z151" s="19" t="str">
        <f t="shared" si="118"/>
        <v>Bor. Mönchengladbach</v>
      </c>
      <c r="AA151" s="19">
        <f>COUNTIFS(F4:F78,Z151,G4:G78,"&gt;=0")+COUNTIFS(I4:I78,Z151,H4:H78,"&gt;=0")</f>
        <v>7</v>
      </c>
      <c r="AB151" s="19">
        <f>COUNTIFS(F4:F78,Z151,B4:B78,3)+COUNTIFS(I4:I78,Z151,M4:M78,3)</f>
        <v>5</v>
      </c>
      <c r="AC151" s="19">
        <f>COUNTIFS(F4:F78,Z151,B4:B78,1)+COUNTIFS(I4:I78,Z151,M4:M78,1)</f>
        <v>1</v>
      </c>
      <c r="AD151" s="19">
        <f>COUNTIFS(F4:F78,Z151,B4:B78,0)+COUNTIFS(I4:I78,Z151,M4:M78,0)</f>
        <v>1</v>
      </c>
      <c r="AE151" s="19">
        <f>SUMIF(F4:F78,Z151,G4:G78)+SUMIF(I4:I78,Z151,H4:H78)</f>
        <v>15</v>
      </c>
      <c r="AF151" s="19">
        <f>SUMIF(F4:F78,Z151,H4:H78)+SUMIF(I4:I78,Z151,G4:G78)</f>
        <v>6</v>
      </c>
      <c r="AG151" s="19">
        <f t="shared" si="126"/>
        <v>9</v>
      </c>
      <c r="AH151" s="19">
        <f t="shared" si="127"/>
        <v>16</v>
      </c>
      <c r="AI151" s="19">
        <f t="shared" si="125"/>
        <v>16000.105</v>
      </c>
      <c r="AJ151" s="2"/>
      <c r="AW151" s="7"/>
    </row>
    <row r="152" spans="1:49" x14ac:dyDescent="0.25">
      <c r="A152" s="1"/>
      <c r="B152" s="2">
        <f t="shared" si="109"/>
        <v>0</v>
      </c>
      <c r="D152" s="61">
        <f t="shared" si="121"/>
        <v>13</v>
      </c>
      <c r="F152" s="9" t="s">
        <v>87</v>
      </c>
      <c r="G152" s="10">
        <v>0</v>
      </c>
      <c r="H152" s="10">
        <v>1</v>
      </c>
      <c r="I152" s="9" t="s">
        <v>148</v>
      </c>
      <c r="J152" s="6"/>
      <c r="K152" s="61">
        <f t="shared" si="122"/>
        <v>18</v>
      </c>
      <c r="M152" s="2">
        <f t="shared" si="119"/>
        <v>3</v>
      </c>
      <c r="O152" s="2" t="str">
        <f t="shared" si="110"/>
        <v>P</v>
      </c>
      <c r="P152" s="2" t="str">
        <f t="shared" si="111"/>
        <v>G</v>
      </c>
      <c r="S152" s="2" t="str">
        <f t="shared" si="123"/>
        <v>Werder BremenSC Paderborn 07</v>
      </c>
      <c r="T152" s="2" t="str">
        <f t="shared" si="124"/>
        <v>0-1</v>
      </c>
      <c r="V152" s="2" t="str">
        <f t="shared" si="120"/>
        <v>Borussia Dortmund</v>
      </c>
      <c r="W152" s="2">
        <f t="shared" si="117"/>
        <v>8</v>
      </c>
      <c r="Y152" s="19">
        <f>RANK(AI152,$AI$145:$AI$162,0)+COUNTIF($AI$144:AI151,AI152)</f>
        <v>8</v>
      </c>
      <c r="Z152" s="19" t="str">
        <f t="shared" si="118"/>
        <v>Borussia Dortmund</v>
      </c>
      <c r="AA152" s="19">
        <f>COUNTIFS(F4:F78,Z152,G4:G78,"&gt;=0")+COUNTIFS(I4:I78,Z152,H4:H78,"&gt;=0")</f>
        <v>7</v>
      </c>
      <c r="AB152" s="19">
        <f>COUNTIFS(F4:F78,Z152,B4:B78,3)+COUNTIFS(I4:I78,Z152,M4:M78,3)</f>
        <v>3</v>
      </c>
      <c r="AC152" s="19">
        <f>COUNTIFS(F4:F78,Z152,B4:B78,1)+COUNTIFS(I4:I78,Z152,M4:M78,1)</f>
        <v>3</v>
      </c>
      <c r="AD152" s="19">
        <f>COUNTIFS(F4:F78,Z152,B4:B78,0)+COUNTIFS(I4:I78,Z152,M4:M78,0)</f>
        <v>1</v>
      </c>
      <c r="AE152" s="19">
        <f>SUMIF(F4:F78,Z152,G4:G78)+SUMIF(I4:I78,Z152,H4:H78)</f>
        <v>19</v>
      </c>
      <c r="AF152" s="19">
        <f>SUMIF(F4:F78,Z152,H4:H78)+SUMIF(I4:I78,Z152,G4:G78)</f>
        <v>11</v>
      </c>
      <c r="AG152" s="19">
        <f t="shared" si="126"/>
        <v>8</v>
      </c>
      <c r="AH152" s="19">
        <f t="shared" si="127"/>
        <v>12</v>
      </c>
      <c r="AI152" s="19">
        <f t="shared" si="125"/>
        <v>12000.099</v>
      </c>
      <c r="AJ152" s="2"/>
      <c r="AW152" s="7"/>
    </row>
    <row r="153" spans="1:49" x14ac:dyDescent="0.25">
      <c r="A153" s="1"/>
      <c r="B153" s="2">
        <f t="shared" si="109"/>
        <v>3</v>
      </c>
      <c r="D153" s="61">
        <f t="shared" si="121"/>
        <v>6</v>
      </c>
      <c r="F153" s="9" t="s">
        <v>91</v>
      </c>
      <c r="G153" s="10">
        <v>1</v>
      </c>
      <c r="H153" s="10">
        <v>0</v>
      </c>
      <c r="I153" s="9" t="s">
        <v>85</v>
      </c>
      <c r="J153" s="6"/>
      <c r="K153" s="61">
        <f t="shared" si="122"/>
        <v>9</v>
      </c>
      <c r="M153" s="2">
        <f t="shared" si="119"/>
        <v>0</v>
      </c>
      <c r="O153" s="2" t="str">
        <f t="shared" si="110"/>
        <v>G</v>
      </c>
      <c r="P153" s="2" t="str">
        <f t="shared" si="111"/>
        <v>P</v>
      </c>
      <c r="S153" s="2" t="str">
        <f t="shared" si="123"/>
        <v>SC FreiburgVfL Wolfsburg</v>
      </c>
      <c r="T153" s="2" t="str">
        <f t="shared" si="124"/>
        <v>1-0</v>
      </c>
      <c r="V153" s="2" t="str">
        <f t="shared" si="120"/>
        <v>Eintracht Frankfurt</v>
      </c>
      <c r="W153" s="2">
        <f t="shared" si="117"/>
        <v>9</v>
      </c>
      <c r="Y153" s="19">
        <f>RANK(AI153,$AI$145:$AI$162,0)+COUNTIF($AI$144:AI152,AI153)</f>
        <v>9</v>
      </c>
      <c r="Z153" s="19" t="str">
        <f t="shared" si="118"/>
        <v>Eintracht Frankfurt</v>
      </c>
      <c r="AA153" s="19">
        <f>COUNTIFS(F4:F78,Z153,G4:G78,"&gt;=0")+COUNTIFS(I4:I78,Z153,H4:H78,"&gt;=0")</f>
        <v>7</v>
      </c>
      <c r="AB153" s="19">
        <f>COUNTIFS(F4:F78,Z153,B4:B78,3)+COUNTIFS(I4:I78,Z153,M4:M78,3)</f>
        <v>3</v>
      </c>
      <c r="AC153" s="19">
        <f>COUNTIFS(F4:F78,Z153,B4:B78,1)+COUNTIFS(I4:I78,Z153,M4:M78,1)</f>
        <v>2</v>
      </c>
      <c r="AD153" s="19">
        <f>COUNTIFS(F4:F78,Z153,B4:B78,0)+COUNTIFS(I4:I78,Z153,M4:M78,0)</f>
        <v>2</v>
      </c>
      <c r="AE153" s="19">
        <f>SUMIF(F4:F78,Z153,G4:G78)+SUMIF(I4:I78,Z153,H4:H78)</f>
        <v>11</v>
      </c>
      <c r="AF153" s="19">
        <f>SUMIF(F4:F78,Z153,H4:H78)+SUMIF(I4:I78,Z153,G4:G78)</f>
        <v>10</v>
      </c>
      <c r="AG153" s="19">
        <f t="shared" si="126"/>
        <v>1</v>
      </c>
      <c r="AH153" s="19">
        <f t="shared" si="127"/>
        <v>11</v>
      </c>
      <c r="AI153" s="19">
        <f t="shared" si="125"/>
        <v>11000.021000000001</v>
      </c>
      <c r="AJ153" s="2"/>
      <c r="AW153" s="7"/>
    </row>
    <row r="154" spans="1:49" x14ac:dyDescent="0.25">
      <c r="A154" s="1"/>
      <c r="B154" s="2">
        <f t="shared" si="109"/>
        <v>3</v>
      </c>
      <c r="D154" s="61">
        <f t="shared" si="121"/>
        <v>14</v>
      </c>
      <c r="F154" s="9" t="s">
        <v>92</v>
      </c>
      <c r="G154" s="10">
        <v>2</v>
      </c>
      <c r="H154" s="10">
        <v>1</v>
      </c>
      <c r="I154" s="9" t="s">
        <v>90</v>
      </c>
      <c r="J154" s="6"/>
      <c r="K154" s="61">
        <f t="shared" si="122"/>
        <v>12</v>
      </c>
      <c r="M154" s="2">
        <f t="shared" si="119"/>
        <v>0</v>
      </c>
      <c r="O154" s="2" t="str">
        <f t="shared" si="110"/>
        <v>G</v>
      </c>
      <c r="P154" s="2" t="str">
        <f t="shared" si="111"/>
        <v>P</v>
      </c>
      <c r="S154" s="2" t="str">
        <f t="shared" si="123"/>
        <v>FC Augsburg1. FSV Mainz 05</v>
      </c>
      <c r="T154" s="2" t="str">
        <f t="shared" si="124"/>
        <v>2-1</v>
      </c>
      <c r="V154" s="2" t="str">
        <f t="shared" si="120"/>
        <v>FC Augsburg</v>
      </c>
      <c r="W154" s="2">
        <f t="shared" si="117"/>
        <v>14</v>
      </c>
      <c r="Y154" s="19">
        <f>RANK(AI154,$AI$145:$AI$162,0)+COUNTIF($AI$144:AI153,AI154)</f>
        <v>14</v>
      </c>
      <c r="Z154" s="19" t="str">
        <f t="shared" si="118"/>
        <v>FC Augsburg</v>
      </c>
      <c r="AA154" s="19">
        <f>COUNTIFS(F4:F78,Z154,G4:G78,"&gt;=0")+COUNTIFS(I4:I78,Z154,H4:H78,"&gt;=0")</f>
        <v>7</v>
      </c>
      <c r="AB154" s="19">
        <f>COUNTIFS(F4:F78,Z154,B4:B78,3)+COUNTIFS(I4:I78,Z154,M4:M78,3)</f>
        <v>1</v>
      </c>
      <c r="AC154" s="19">
        <f>COUNTIFS(F4:F78,Z154,B4:B78,1)+COUNTIFS(I4:I78,Z154,M4:M78,1)</f>
        <v>2</v>
      </c>
      <c r="AD154" s="19">
        <f>COUNTIFS(F4:F78,Z154,B4:B78,0)+COUNTIFS(I4:I78,Z154,M4:M78,0)</f>
        <v>4</v>
      </c>
      <c r="AE154" s="19">
        <f>SUMIF(F4:F78,Z154,G4:G78)+SUMIF(I4:I78,Z154,H4:H78)</f>
        <v>8</v>
      </c>
      <c r="AF154" s="19">
        <f>SUMIF(F4:F78,Z154,H4:H78)+SUMIF(I4:I78,Z154,G4:G78)</f>
        <v>19</v>
      </c>
      <c r="AG154" s="19">
        <f t="shared" si="126"/>
        <v>-11</v>
      </c>
      <c r="AH154" s="19">
        <f t="shared" si="127"/>
        <v>5</v>
      </c>
      <c r="AI154" s="19">
        <f t="shared" si="125"/>
        <v>4999.8980000000001</v>
      </c>
      <c r="AJ154" s="2"/>
      <c r="AW154" s="7"/>
    </row>
    <row r="155" spans="1:49" x14ac:dyDescent="0.25">
      <c r="A155" s="1"/>
      <c r="B155" s="2">
        <f t="shared" si="109"/>
        <v>3</v>
      </c>
      <c r="D155" s="61">
        <f t="shared" si="121"/>
        <v>11</v>
      </c>
      <c r="F155" s="9" t="s">
        <v>162</v>
      </c>
      <c r="G155" s="10">
        <v>2</v>
      </c>
      <c r="H155" s="10">
        <v>0</v>
      </c>
      <c r="I155" s="9" t="s">
        <v>161</v>
      </c>
      <c r="J155" s="6"/>
      <c r="K155" s="61">
        <f t="shared" si="122"/>
        <v>17</v>
      </c>
      <c r="M155" s="2">
        <f t="shared" si="119"/>
        <v>0</v>
      </c>
      <c r="O155" s="2" t="str">
        <f t="shared" si="110"/>
        <v>G</v>
      </c>
      <c r="P155" s="2" t="str">
        <f t="shared" si="111"/>
        <v>P</v>
      </c>
      <c r="S155" s="2" t="str">
        <f t="shared" si="123"/>
        <v>1. FC Union Berlin1. FC Köln</v>
      </c>
      <c r="T155" s="2" t="str">
        <f t="shared" si="124"/>
        <v>2-0</v>
      </c>
      <c r="V155" s="2" t="str">
        <f t="shared" si="120"/>
        <v>FC Schalke 04</v>
      </c>
      <c r="W155" s="2">
        <f t="shared" si="117"/>
        <v>6</v>
      </c>
      <c r="Y155" s="19">
        <f>RANK(AI155,$AI$145:$AI$162,0)+COUNTIF($AI$144:AI154,AI155)</f>
        <v>6</v>
      </c>
      <c r="Z155" s="19" t="str">
        <f t="shared" si="118"/>
        <v>FC Schalke 04</v>
      </c>
      <c r="AA155" s="19">
        <f>COUNTIFS(F4:F78,Z155,G4:G78,"&gt;=0")+COUNTIFS(I4:I78,Z155,H4:H78,"&gt;=0")</f>
        <v>7</v>
      </c>
      <c r="AB155" s="19">
        <f>COUNTIFS(F4:F78,Z155,B4:B78,3)+COUNTIFS(I4:I78,Z155,M4:M78,3)</f>
        <v>4</v>
      </c>
      <c r="AC155" s="19">
        <f>COUNTIFS(F4:F78,Z155,B4:B78,1)+COUNTIFS(I4:I78,Z155,M4:M78,1)</f>
        <v>2</v>
      </c>
      <c r="AD155" s="19">
        <f>COUNTIFS(F4:F78,Z155,B4:B78,0)+COUNTIFS(I4:I78,Z155,M4:M78,0)</f>
        <v>1</v>
      </c>
      <c r="AE155" s="19">
        <f>SUMIF(F4:F78,Z155,G4:G78)+SUMIF(I4:I78,Z155,H4:H78)</f>
        <v>14</v>
      </c>
      <c r="AF155" s="19">
        <f>SUMIF(F4:F78,Z155,H4:H78)+SUMIF(I4:I78,Z155,G4:G78)</f>
        <v>7</v>
      </c>
      <c r="AG155" s="19">
        <f t="shared" si="126"/>
        <v>7</v>
      </c>
      <c r="AH155" s="19">
        <f t="shared" si="127"/>
        <v>14</v>
      </c>
      <c r="AI155" s="19">
        <f t="shared" si="125"/>
        <v>14000.083999999999</v>
      </c>
      <c r="AJ155" s="2"/>
      <c r="AW155" s="7"/>
    </row>
    <row r="156" spans="1:49" x14ac:dyDescent="0.25">
      <c r="A156" s="1"/>
      <c r="F156" s="107"/>
      <c r="G156" s="108"/>
      <c r="H156" s="108"/>
      <c r="I156" s="107"/>
      <c r="J156" s="6"/>
      <c r="O156" s="2" t="str">
        <f t="shared" si="110"/>
        <v/>
      </c>
      <c r="P156" s="2" t="str">
        <f t="shared" si="111"/>
        <v/>
      </c>
      <c r="V156" s="2" t="str">
        <f t="shared" si="120"/>
        <v>Fortuna Düsseldorf</v>
      </c>
      <c r="W156" s="2">
        <f t="shared" si="117"/>
        <v>15</v>
      </c>
      <c r="Y156" s="19">
        <f>RANK(AI156,$AI$145:$AI$162,0)+COUNTIF($AI$144:AI155,AI156)</f>
        <v>15</v>
      </c>
      <c r="Z156" s="19" t="str">
        <f t="shared" si="118"/>
        <v>Fortuna Düsseldorf</v>
      </c>
      <c r="AA156" s="19">
        <f>COUNTIFS(F4:F78,Z156,G4:G78,"&gt;=0")+COUNTIFS(I4:I78,Z156,H4:H78,"&gt;=0")</f>
        <v>7</v>
      </c>
      <c r="AB156" s="19">
        <f>COUNTIFS(F4:F78,Z156,B4:B78,3)+COUNTIFS(I4:I78,Z156,M4:M78,3)</f>
        <v>1</v>
      </c>
      <c r="AC156" s="19">
        <f>COUNTIFS(F4:F78,Z156,B4:B78,1)+COUNTIFS(I4:I78,Z156,M4:M78,1)</f>
        <v>1</v>
      </c>
      <c r="AD156" s="19">
        <f>COUNTIFS(F4:F78,Z156,B4:B78,0)+COUNTIFS(I4:I78,Z156,M4:M78,0)</f>
        <v>5</v>
      </c>
      <c r="AE156" s="19">
        <f>SUMIF(F4:F78,Z156,G4:G78)+SUMIF(I4:I78,Z156,H4:H78)</f>
        <v>9</v>
      </c>
      <c r="AF156" s="19">
        <f>SUMIF(F4:F78,Z156,H4:H78)+SUMIF(I4:I78,Z156,G4:G78)</f>
        <v>14</v>
      </c>
      <c r="AG156" s="19">
        <f t="shared" si="126"/>
        <v>-5</v>
      </c>
      <c r="AH156" s="19">
        <f t="shared" si="127"/>
        <v>4</v>
      </c>
      <c r="AI156" s="19">
        <f t="shared" si="125"/>
        <v>3999.9589999999998</v>
      </c>
      <c r="AJ156" s="2"/>
      <c r="AW156" s="7"/>
    </row>
    <row r="157" spans="1:49" x14ac:dyDescent="0.25">
      <c r="A157" s="1"/>
      <c r="B157" s="2" t="str">
        <f t="shared" si="109"/>
        <v/>
      </c>
      <c r="F157" s="154" t="s">
        <v>54</v>
      </c>
      <c r="G157" s="154"/>
      <c r="H157" s="154"/>
      <c r="I157" s="154"/>
      <c r="J157" s="6"/>
      <c r="M157" s="2" t="str">
        <f t="shared" ref="M157:M166" si="128">IF(H157="","",IF(H157&gt;G157,3,IF(H157=G157,1,0)))</f>
        <v/>
      </c>
      <c r="O157" s="2" t="str">
        <f t="shared" si="110"/>
        <v/>
      </c>
      <c r="P157" s="2" t="str">
        <f t="shared" si="111"/>
        <v/>
      </c>
      <c r="V157" s="2" t="str">
        <f t="shared" si="120"/>
        <v>Hertha BSC</v>
      </c>
      <c r="W157" s="2">
        <f t="shared" si="117"/>
        <v>10</v>
      </c>
      <c r="Y157" s="19">
        <f>RANK(AI157,$AI$145:$AI$162,0)+COUNTIF($AI$144:AI156,AI157)</f>
        <v>10</v>
      </c>
      <c r="Z157" s="19" t="str">
        <f t="shared" si="118"/>
        <v>Hertha BSC</v>
      </c>
      <c r="AA157" s="19">
        <f>COUNTIFS(F4:F78,Z157,G4:G78,"&gt;=0")+COUNTIFS(I4:I78,Z157,H4:H78,"&gt;=0")</f>
        <v>7</v>
      </c>
      <c r="AB157" s="19">
        <f>COUNTIFS(F4:F78,Z157,B4:B78,3)+COUNTIFS(I4:I78,Z157,M4:M78,3)</f>
        <v>3</v>
      </c>
      <c r="AC157" s="19">
        <f>COUNTIFS(F4:F78,Z157,B4:B78,1)+COUNTIFS(I4:I78,Z157,M4:M78,1)</f>
        <v>1</v>
      </c>
      <c r="AD157" s="19">
        <f>COUNTIFS(F4:F78,Z157,B4:B78,0)+COUNTIFS(I4:I78,Z157,M4:M78,0)</f>
        <v>3</v>
      </c>
      <c r="AE157" s="19">
        <f>SUMIF(F4:F78,Z157,G4:G78)+SUMIF(I4:I78,Z157,H4:H78)</f>
        <v>12</v>
      </c>
      <c r="AF157" s="19">
        <f>SUMIF(F4:F78,Z157,H4:H78)+SUMIF(I4:I78,Z157,G4:G78)</f>
        <v>12</v>
      </c>
      <c r="AG157" s="19">
        <f t="shared" si="126"/>
        <v>0</v>
      </c>
      <c r="AH157" s="19">
        <f t="shared" si="127"/>
        <v>10</v>
      </c>
      <c r="AI157" s="19">
        <f t="shared" si="125"/>
        <v>10000.012000000001</v>
      </c>
      <c r="AW157" s="7"/>
    </row>
    <row r="158" spans="1:49" x14ac:dyDescent="0.25">
      <c r="A158" s="1"/>
      <c r="B158" s="2">
        <f t="shared" si="109"/>
        <v>3</v>
      </c>
      <c r="D158" s="61">
        <f t="shared" ref="D158:D166" si="129">IFERROR(VLOOKUP(F158,$V$285:$W$302,2,FALSE),"")</f>
        <v>7</v>
      </c>
      <c r="F158" s="9" t="s">
        <v>79</v>
      </c>
      <c r="G158" s="10">
        <v>6</v>
      </c>
      <c r="H158" s="10">
        <v>1</v>
      </c>
      <c r="I158" s="9" t="s">
        <v>87</v>
      </c>
      <c r="J158" s="6"/>
      <c r="K158" s="61">
        <f t="shared" ref="K158:K166" si="130">IFERROR(VLOOKUP(I158,$V$285:$W$302,2,FALSE),"")</f>
        <v>14</v>
      </c>
      <c r="M158" s="2">
        <f t="shared" si="128"/>
        <v>0</v>
      </c>
      <c r="O158" s="2" t="str">
        <f t="shared" si="110"/>
        <v>G</v>
      </c>
      <c r="P158" s="2" t="str">
        <f t="shared" si="111"/>
        <v>P</v>
      </c>
      <c r="S158" s="2" t="str">
        <f t="shared" ref="S158:S166" si="131">IF(M158&lt;&gt;"",F158&amp;I158,"")</f>
        <v>Bayern MünchenWerder Bremen</v>
      </c>
      <c r="T158" s="2" t="str">
        <f t="shared" ref="T158:T166" si="132">IF(S158&lt;&gt;"",G158&amp;"-"&amp;H158,"")</f>
        <v>6-1</v>
      </c>
      <c r="V158" s="2" t="str">
        <f t="shared" si="120"/>
        <v>RB Leipzig</v>
      </c>
      <c r="W158" s="2">
        <f t="shared" si="117"/>
        <v>4</v>
      </c>
      <c r="Y158" s="19">
        <f>RANK(AI158,$AI$145:$AI$162,0)+COUNTIF($AI$144:AI157,AI158)</f>
        <v>4</v>
      </c>
      <c r="Z158" s="19" t="str">
        <f t="shared" si="118"/>
        <v>RB Leipzig</v>
      </c>
      <c r="AA158" s="19">
        <f>COUNTIFS(F4:F78,Z158,G4:G78,"&gt;=0")+COUNTIFS(I4:I78,Z158,H4:H78,"&gt;=0")</f>
        <v>7</v>
      </c>
      <c r="AB158" s="19">
        <f>COUNTIFS(F4:F78,Z158,B4:B78,3)+COUNTIFS(I4:I78,Z158,M4:M78,3)</f>
        <v>4</v>
      </c>
      <c r="AC158" s="19">
        <f>COUNTIFS(F4:F78,Z158,B4:B78,1)+COUNTIFS(I4:I78,Z158,M4:M78,1)</f>
        <v>2</v>
      </c>
      <c r="AD158" s="19">
        <f>COUNTIFS(F4:F78,Z158,B4:B78,0)+COUNTIFS(I4:I78,Z158,M4:M78,0)</f>
        <v>1</v>
      </c>
      <c r="AE158" s="19">
        <f>SUMIF(F4:F78,Z158,G4:G78)+SUMIF(I4:I78,Z158,H4:H78)</f>
        <v>15</v>
      </c>
      <c r="AF158" s="19">
        <f>SUMIF(F4:F78,Z158,H4:H78)+SUMIF(I4:I78,Z158,G4:G78)</f>
        <v>7</v>
      </c>
      <c r="AG158" s="19">
        <f t="shared" si="126"/>
        <v>8</v>
      </c>
      <c r="AH158" s="19">
        <f t="shared" si="127"/>
        <v>14</v>
      </c>
      <c r="AI158" s="19">
        <f t="shared" si="125"/>
        <v>14000.094999999999</v>
      </c>
      <c r="AJ158" s="2"/>
      <c r="AW158" s="7"/>
    </row>
    <row r="159" spans="1:49" x14ac:dyDescent="0.25">
      <c r="A159" s="1"/>
      <c r="B159" s="2">
        <f t="shared" si="109"/>
        <v>3</v>
      </c>
      <c r="D159" s="61">
        <f t="shared" si="129"/>
        <v>9</v>
      </c>
      <c r="F159" s="9" t="s">
        <v>85</v>
      </c>
      <c r="G159" s="10">
        <v>2</v>
      </c>
      <c r="H159" s="10">
        <v>1</v>
      </c>
      <c r="I159" s="9" t="s">
        <v>82</v>
      </c>
      <c r="J159" s="6"/>
      <c r="K159" s="61">
        <f t="shared" si="130"/>
        <v>1</v>
      </c>
      <c r="M159" s="2">
        <f t="shared" si="128"/>
        <v>0</v>
      </c>
      <c r="O159" s="2" t="str">
        <f t="shared" si="110"/>
        <v>G</v>
      </c>
      <c r="P159" s="2" t="str">
        <f t="shared" si="111"/>
        <v>P</v>
      </c>
      <c r="S159" s="2" t="str">
        <f t="shared" si="131"/>
        <v>VfL WolfsburgBor. Mönchengladbach</v>
      </c>
      <c r="T159" s="2" t="str">
        <f t="shared" si="132"/>
        <v>2-1</v>
      </c>
      <c r="V159" s="2" t="str">
        <f t="shared" si="120"/>
        <v>SC Freiburg</v>
      </c>
      <c r="W159" s="2">
        <f t="shared" si="117"/>
        <v>5</v>
      </c>
      <c r="Y159" s="19">
        <f>RANK(AI159,$AI$145:$AI$162,0)+COUNTIF($AI$144:AI158,AI159)</f>
        <v>5</v>
      </c>
      <c r="Z159" s="19" t="str">
        <f t="shared" si="118"/>
        <v>SC Freiburg</v>
      </c>
      <c r="AA159" s="19">
        <f>COUNTIFS(F4:F78,Z159,G4:G78,"&gt;=0")+COUNTIFS(I4:I78,Z159,H4:H78,"&gt;=0")</f>
        <v>7</v>
      </c>
      <c r="AB159" s="19">
        <f>COUNTIFS(F4:F78,Z159,B4:B78,3)+COUNTIFS(I4:I78,Z159,M4:M78,3)</f>
        <v>4</v>
      </c>
      <c r="AC159" s="19">
        <f>COUNTIFS(F4:F78,Z159,B4:B78,1)+COUNTIFS(I4:I78,Z159,M4:M78,1)</f>
        <v>2</v>
      </c>
      <c r="AD159" s="19">
        <f>COUNTIFS(F4:F78,Z159,B4:B78,0)+COUNTIFS(I4:I78,Z159,M4:M78,0)</f>
        <v>1</v>
      </c>
      <c r="AE159" s="19">
        <f>SUMIF(F4:F78,Z159,G4:G78)+SUMIF(I4:I78,Z159,H4:H78)</f>
        <v>15</v>
      </c>
      <c r="AF159" s="19">
        <f>SUMIF(F4:F78,Z159,H4:H78)+SUMIF(I4:I78,Z159,G4:G78)</f>
        <v>7</v>
      </c>
      <c r="AG159" s="19">
        <f t="shared" si="126"/>
        <v>8</v>
      </c>
      <c r="AH159" s="19">
        <f t="shared" si="127"/>
        <v>14</v>
      </c>
      <c r="AI159" s="19">
        <f t="shared" si="125"/>
        <v>14000.094999999999</v>
      </c>
      <c r="AJ159" s="2"/>
      <c r="AW159" s="7"/>
    </row>
    <row r="160" spans="1:49" x14ac:dyDescent="0.25">
      <c r="A160" s="1"/>
      <c r="B160" s="2">
        <f t="shared" si="109"/>
        <v>0</v>
      </c>
      <c r="D160" s="61">
        <f t="shared" si="129"/>
        <v>8</v>
      </c>
      <c r="F160" s="9" t="s">
        <v>86</v>
      </c>
      <c r="G160" s="10">
        <v>2</v>
      </c>
      <c r="H160" s="10">
        <v>4</v>
      </c>
      <c r="I160" s="9" t="s">
        <v>92</v>
      </c>
      <c r="J160" s="6"/>
      <c r="K160" s="61">
        <f t="shared" si="130"/>
        <v>12</v>
      </c>
      <c r="M160" s="2">
        <f t="shared" si="128"/>
        <v>3</v>
      </c>
      <c r="O160" s="2" t="str">
        <f t="shared" si="110"/>
        <v>P</v>
      </c>
      <c r="P160" s="2" t="str">
        <f t="shared" si="111"/>
        <v>G</v>
      </c>
      <c r="S160" s="2" t="str">
        <f t="shared" si="131"/>
        <v>1899 HoffenheimFC Augsburg</v>
      </c>
      <c r="T160" s="2" t="str">
        <f t="shared" si="132"/>
        <v>2-4</v>
      </c>
      <c r="V160" s="2" t="str">
        <f t="shared" si="120"/>
        <v>SC Paderborn 07</v>
      </c>
      <c r="W160" s="2">
        <f t="shared" si="117"/>
        <v>18</v>
      </c>
      <c r="Y160" s="19">
        <f>RANK(AI160,$AI$145:$AI$162,0)+COUNTIF($AI$144:AI159,AI160)</f>
        <v>18</v>
      </c>
      <c r="Z160" s="19" t="str">
        <f t="shared" si="118"/>
        <v>SC Paderborn 07</v>
      </c>
      <c r="AA160" s="19">
        <f>COUNTIFS(F4:F78,Z160,G4:G78,"&gt;=0")+COUNTIFS(I4:I78,Z160,H4:H78,"&gt;=0")</f>
        <v>7</v>
      </c>
      <c r="AB160" s="19">
        <f>COUNTIFS(F4:F78,Z160,B4:B78,3)+COUNTIFS(I4:I78,Z160,M4:M78,3)</f>
        <v>0</v>
      </c>
      <c r="AC160" s="19">
        <f>COUNTIFS(F4:F78,Z160,B4:B78,1)+COUNTIFS(I4:I78,Z160,M4:M78,1)</f>
        <v>1</v>
      </c>
      <c r="AD160" s="19">
        <f>COUNTIFS(F4:F78,Z160,B4:B78,0)+COUNTIFS(I4:I78,Z160,M4:M78,0)</f>
        <v>6</v>
      </c>
      <c r="AE160" s="19">
        <f>SUMIF(F4:F78,Z160,G4:G78)+SUMIF(I4:I78,Z160,H4:H78)</f>
        <v>9</v>
      </c>
      <c r="AF160" s="19">
        <f>SUMIF(F4:F78,Z160,H4:H78)+SUMIF(I4:I78,Z160,G4:G78)</f>
        <v>19</v>
      </c>
      <c r="AG160" s="19">
        <f t="shared" si="126"/>
        <v>-10</v>
      </c>
      <c r="AH160" s="19">
        <f t="shared" si="127"/>
        <v>1</v>
      </c>
      <c r="AI160" s="19">
        <f t="shared" si="125"/>
        <v>999.90899999999999</v>
      </c>
      <c r="AJ160" s="2"/>
      <c r="AW160" s="7"/>
    </row>
    <row r="161" spans="1:49" x14ac:dyDescent="0.25">
      <c r="A161" s="1"/>
      <c r="B161" s="2">
        <f t="shared" si="109"/>
        <v>0</v>
      </c>
      <c r="D161" s="61">
        <f t="shared" si="129"/>
        <v>16</v>
      </c>
      <c r="F161" s="9" t="s">
        <v>89</v>
      </c>
      <c r="G161" s="10">
        <v>0</v>
      </c>
      <c r="H161" s="10">
        <v>3</v>
      </c>
      <c r="I161" s="9" t="s">
        <v>81</v>
      </c>
      <c r="J161" s="6"/>
      <c r="K161" s="61">
        <f t="shared" si="130"/>
        <v>2</v>
      </c>
      <c r="M161" s="2">
        <f t="shared" si="128"/>
        <v>3</v>
      </c>
      <c r="O161" s="2" t="str">
        <f t="shared" si="110"/>
        <v>P</v>
      </c>
      <c r="P161" s="2" t="str">
        <f t="shared" si="111"/>
        <v>G</v>
      </c>
      <c r="S161" s="2" t="str">
        <f t="shared" si="131"/>
        <v>Fortuna DüsseldorfRB Leipzig</v>
      </c>
      <c r="T161" s="2" t="str">
        <f t="shared" si="132"/>
        <v>0-3</v>
      </c>
      <c r="V161" s="2" t="str">
        <f t="shared" si="120"/>
        <v>VfL Wolfsburg</v>
      </c>
      <c r="W161" s="2">
        <f t="shared" si="117"/>
        <v>2</v>
      </c>
      <c r="Y161" s="19">
        <f>RANK(AI161,$AI$145:$AI$162,0)+COUNTIF($AI$144:AI160,AI161)</f>
        <v>2</v>
      </c>
      <c r="Z161" s="19" t="str">
        <f t="shared" si="118"/>
        <v>VfL Wolfsburg</v>
      </c>
      <c r="AA161" s="19">
        <f>COUNTIFS(F4:F78,Z161,G4:G78,"&gt;=0")+COUNTIFS(I4:I78,Z161,H4:H78,"&gt;=0")</f>
        <v>7</v>
      </c>
      <c r="AB161" s="19">
        <f>COUNTIFS(F4:F78,Z161,B4:B78,3)+COUNTIFS(I4:I78,Z161,M4:M78,3)</f>
        <v>4</v>
      </c>
      <c r="AC161" s="19">
        <f>COUNTIFS(F4:F78,Z161,B4:B78,1)+COUNTIFS(I4:I78,Z161,M4:M78,1)</f>
        <v>3</v>
      </c>
      <c r="AD161" s="19">
        <f>COUNTIFS(F4:F78,Z161,B4:B78,0)+COUNTIFS(I4:I78,Z161,M4:M78,0)</f>
        <v>0</v>
      </c>
      <c r="AE161" s="19">
        <f>SUMIF(F4:F78,Z161,G4:G78)+SUMIF(I4:I78,Z161,H4:H78)</f>
        <v>10</v>
      </c>
      <c r="AF161" s="19">
        <f>SUMIF(F4:F78,Z161,H4:H78)+SUMIF(I4:I78,Z161,G4:G78)</f>
        <v>4</v>
      </c>
      <c r="AG161" s="19">
        <f t="shared" si="126"/>
        <v>6</v>
      </c>
      <c r="AH161" s="19">
        <f t="shared" si="127"/>
        <v>15</v>
      </c>
      <c r="AI161" s="19">
        <f t="shared" si="125"/>
        <v>15000.07</v>
      </c>
      <c r="AJ161" s="2"/>
      <c r="AW161" s="7"/>
    </row>
    <row r="162" spans="1:49" x14ac:dyDescent="0.25">
      <c r="A162" s="1"/>
      <c r="B162" s="2">
        <f t="shared" si="109"/>
        <v>3</v>
      </c>
      <c r="D162" s="61">
        <f t="shared" si="129"/>
        <v>15</v>
      </c>
      <c r="F162" s="9" t="s">
        <v>88</v>
      </c>
      <c r="G162" s="10">
        <v>1</v>
      </c>
      <c r="H162" s="10">
        <v>0</v>
      </c>
      <c r="I162" s="9" t="s">
        <v>91</v>
      </c>
      <c r="J162" s="6"/>
      <c r="K162" s="61">
        <f t="shared" si="130"/>
        <v>5</v>
      </c>
      <c r="M162" s="2">
        <f t="shared" si="128"/>
        <v>0</v>
      </c>
      <c r="O162" s="2" t="str">
        <f t="shared" si="110"/>
        <v>G</v>
      </c>
      <c r="P162" s="2" t="str">
        <f t="shared" si="111"/>
        <v>P</v>
      </c>
      <c r="S162" s="2" t="str">
        <f t="shared" si="131"/>
        <v>Hertha BSCSC Freiburg</v>
      </c>
      <c r="T162" s="2" t="str">
        <f t="shared" si="132"/>
        <v>1-0</v>
      </c>
      <c r="V162" s="2" t="str">
        <f t="shared" si="120"/>
        <v>Werder Bremen</v>
      </c>
      <c r="W162" s="2">
        <f t="shared" si="117"/>
        <v>11</v>
      </c>
      <c r="Y162" s="19">
        <f>RANK(AI162,$AI$145:$AI$162,0)+COUNTIF($AI$144:AI161,AI162)</f>
        <v>11</v>
      </c>
      <c r="Z162" s="19" t="str">
        <f t="shared" si="118"/>
        <v>Werder Bremen</v>
      </c>
      <c r="AA162" s="19">
        <f>COUNTIFS(F4:F78,Z162,G4:G78,"&gt;=0")+COUNTIFS(I4:I78,Z162,H4:H78,"&gt;=0")</f>
        <v>7</v>
      </c>
      <c r="AB162" s="19">
        <f>COUNTIFS(F4:F78,Z162,B4:B78,3)+COUNTIFS(I4:I78,Z162,M4:M78,3)</f>
        <v>2</v>
      </c>
      <c r="AC162" s="19">
        <f>COUNTIFS(F4:F78,Z162,B4:B78,1)+COUNTIFS(I4:I78,Z162,M4:M78,1)</f>
        <v>2</v>
      </c>
      <c r="AD162" s="19">
        <f>COUNTIFS(F4:F78,Z162,B4:B78,0)+COUNTIFS(I4:I78,Z162,M4:M78,0)</f>
        <v>3</v>
      </c>
      <c r="AE162" s="19">
        <f>SUMIF(F4:F78,Z162,G4:G78)+SUMIF(I4:I78,Z162,H4:H78)</f>
        <v>12</v>
      </c>
      <c r="AF162" s="19">
        <f>SUMIF(F4:F78,Z162,H4:H78)+SUMIF(I4:I78,Z162,G4:G78)</f>
        <v>16</v>
      </c>
      <c r="AG162" s="19">
        <f t="shared" si="126"/>
        <v>-4</v>
      </c>
      <c r="AH162" s="19">
        <f t="shared" si="127"/>
        <v>8</v>
      </c>
      <c r="AI162" s="19">
        <f t="shared" si="125"/>
        <v>7999.9719999999998</v>
      </c>
      <c r="AJ162" s="2"/>
      <c r="AW162" s="7"/>
    </row>
    <row r="163" spans="1:49" x14ac:dyDescent="0.25">
      <c r="A163" s="1"/>
      <c r="B163" s="2">
        <f t="shared" si="109"/>
        <v>0</v>
      </c>
      <c r="D163" s="61">
        <f t="shared" si="129"/>
        <v>13</v>
      </c>
      <c r="F163" s="9" t="s">
        <v>90</v>
      </c>
      <c r="G163" s="10">
        <v>0</v>
      </c>
      <c r="H163" s="10">
        <v>4</v>
      </c>
      <c r="I163" s="9" t="s">
        <v>80</v>
      </c>
      <c r="J163" s="6"/>
      <c r="K163" s="61">
        <f t="shared" si="130"/>
        <v>3</v>
      </c>
      <c r="M163" s="2">
        <f t="shared" si="128"/>
        <v>3</v>
      </c>
      <c r="O163" s="2" t="str">
        <f t="shared" si="110"/>
        <v>P</v>
      </c>
      <c r="P163" s="2" t="str">
        <f t="shared" si="111"/>
        <v>G</v>
      </c>
      <c r="S163" s="2" t="str">
        <f t="shared" si="131"/>
        <v>1. FSV Mainz 05Borussia Dortmund</v>
      </c>
      <c r="T163" s="2" t="str">
        <f t="shared" si="132"/>
        <v>0-4</v>
      </c>
      <c r="AJ163" s="2"/>
      <c r="AW163" s="7"/>
    </row>
    <row r="164" spans="1:49" x14ac:dyDescent="0.25">
      <c r="A164" s="1"/>
      <c r="B164" s="2">
        <f t="shared" si="109"/>
        <v>3</v>
      </c>
      <c r="D164" s="61">
        <f t="shared" si="129"/>
        <v>4</v>
      </c>
      <c r="F164" s="9" t="s">
        <v>93</v>
      </c>
      <c r="G164" s="10">
        <v>1</v>
      </c>
      <c r="H164" s="10">
        <v>0</v>
      </c>
      <c r="I164" s="9" t="s">
        <v>84</v>
      </c>
      <c r="J164" s="6"/>
      <c r="K164" s="61">
        <f t="shared" si="130"/>
        <v>11</v>
      </c>
      <c r="M164" s="2">
        <f t="shared" si="128"/>
        <v>0</v>
      </c>
      <c r="O164" s="2" t="str">
        <f t="shared" si="110"/>
        <v>G</v>
      </c>
      <c r="P164" s="2" t="str">
        <f t="shared" si="111"/>
        <v>P</v>
      </c>
      <c r="S164" s="2" t="str">
        <f t="shared" si="131"/>
        <v>FC Schalke 04Eintracht Frankfurt</v>
      </c>
      <c r="T164" s="2" t="str">
        <f t="shared" si="132"/>
        <v>1-0</v>
      </c>
      <c r="W164" s="18">
        <v>8</v>
      </c>
      <c r="Y164" s="19"/>
      <c r="Z164" s="19" t="s">
        <v>1</v>
      </c>
      <c r="AA164" s="19" t="s">
        <v>2</v>
      </c>
      <c r="AB164" s="19" t="s">
        <v>3</v>
      </c>
      <c r="AC164" s="19" t="s">
        <v>4</v>
      </c>
      <c r="AD164" s="19" t="s">
        <v>5</v>
      </c>
      <c r="AE164" s="19" t="s">
        <v>6</v>
      </c>
      <c r="AF164" s="19" t="s">
        <v>7</v>
      </c>
      <c r="AG164" s="19" t="s">
        <v>8</v>
      </c>
      <c r="AH164" s="19" t="s">
        <v>9</v>
      </c>
      <c r="AI164" s="19" t="s">
        <v>0</v>
      </c>
      <c r="AJ164" s="2"/>
      <c r="AW164" s="7"/>
    </row>
    <row r="165" spans="1:49" x14ac:dyDescent="0.25">
      <c r="A165" s="1"/>
      <c r="B165" s="2">
        <f t="shared" si="109"/>
        <v>3</v>
      </c>
      <c r="D165" s="61">
        <f t="shared" si="129"/>
        <v>18</v>
      </c>
      <c r="F165" s="9" t="s">
        <v>161</v>
      </c>
      <c r="G165" s="10">
        <v>2</v>
      </c>
      <c r="H165" s="10">
        <v>0</v>
      </c>
      <c r="I165" s="9" t="s">
        <v>83</v>
      </c>
      <c r="J165" s="6"/>
      <c r="K165" s="61">
        <f t="shared" si="130"/>
        <v>6</v>
      </c>
      <c r="M165" s="2">
        <f t="shared" si="128"/>
        <v>0</v>
      </c>
      <c r="O165" s="2" t="str">
        <f t="shared" si="110"/>
        <v>G</v>
      </c>
      <c r="P165" s="2" t="str">
        <f t="shared" si="111"/>
        <v>P</v>
      </c>
      <c r="S165" s="2" t="str">
        <f t="shared" si="131"/>
        <v>1. FC KölnBayer Leverkusen</v>
      </c>
      <c r="T165" s="2" t="str">
        <f t="shared" si="132"/>
        <v>2-0</v>
      </c>
      <c r="V165" s="2" t="str">
        <f>CONCATENATE(Z165)</f>
        <v>1. FC Köln</v>
      </c>
      <c r="W165" s="2">
        <f t="shared" ref="W165:W182" si="133">Y165</f>
        <v>15</v>
      </c>
      <c r="Y165" s="19">
        <f>RANK(AI165,$AI$165:$AI$182,0)+COUNTIF($AI$164:AI164,AI165)</f>
        <v>15</v>
      </c>
      <c r="Z165" s="19" t="str">
        <f t="shared" ref="Z165:Z182" si="134">CONCATENATE(Z5)</f>
        <v>1. FC Köln</v>
      </c>
      <c r="AA165" s="19">
        <f>COUNTIFS(F4:F89,Z165,G4:G89,"&gt;=0")+COUNTIFS(I4:I89,Z165,H4:H89,"&gt;=0")</f>
        <v>8</v>
      </c>
      <c r="AB165" s="19">
        <f>COUNTIFS(F4:F89,Z165,B4:B89,3)+COUNTIFS(I4:I89,Z165,M4:M89,3)</f>
        <v>2</v>
      </c>
      <c r="AC165" s="19">
        <f>COUNTIFS(F4:F89,Z165,B4:B89,1)+COUNTIFS(I4:I89,Z165,M4:M89,1)</f>
        <v>1</v>
      </c>
      <c r="AD165" s="19">
        <f>COUNTIFS(F4:F89,Z165,B4:B89,0)+COUNTIFS(I4:I89,Z165,M4:M89,0)</f>
        <v>5</v>
      </c>
      <c r="AE165" s="19">
        <f>SUMIF(F4:F89,Z165,G4:G89)+SUMIF(I4:I89,Z165,H4:H89)</f>
        <v>8</v>
      </c>
      <c r="AF165" s="19">
        <f>SUMIF(F4:F89,Z165,H4:H89)+SUMIF(I4:I89,Z165,G4:G89)</f>
        <v>16</v>
      </c>
      <c r="AG165" s="19">
        <f>+AE165-AF165</f>
        <v>-8</v>
      </c>
      <c r="AH165" s="19">
        <f>(AB165*3)+AC165</f>
        <v>7</v>
      </c>
      <c r="AI165" s="19">
        <f>SUM(AH165*1000+(AG165)/100+(AE165)/1000)</f>
        <v>6999.9279999999999</v>
      </c>
      <c r="AJ165" s="2"/>
      <c r="AW165" s="7"/>
    </row>
    <row r="166" spans="1:49" x14ac:dyDescent="0.25">
      <c r="A166" s="1"/>
      <c r="B166" s="2">
        <f t="shared" si="109"/>
        <v>1</v>
      </c>
      <c r="D166" s="61">
        <f t="shared" si="129"/>
        <v>17</v>
      </c>
      <c r="F166" s="9" t="s">
        <v>148</v>
      </c>
      <c r="G166" s="10">
        <v>1</v>
      </c>
      <c r="H166" s="10">
        <v>1</v>
      </c>
      <c r="I166" s="9" t="s">
        <v>162</v>
      </c>
      <c r="J166" s="6"/>
      <c r="K166" s="61">
        <f t="shared" si="130"/>
        <v>10</v>
      </c>
      <c r="M166" s="2">
        <f t="shared" si="128"/>
        <v>1</v>
      </c>
      <c r="O166" s="2" t="str">
        <f t="shared" si="110"/>
        <v>N</v>
      </c>
      <c r="P166" s="2" t="str">
        <f t="shared" si="111"/>
        <v>N</v>
      </c>
      <c r="S166" s="2" t="str">
        <f t="shared" si="131"/>
        <v>SC Paderborn 071. FC Union Berlin</v>
      </c>
      <c r="T166" s="2" t="str">
        <f t="shared" si="132"/>
        <v>1-1</v>
      </c>
      <c r="V166" s="2" t="str">
        <f t="shared" ref="V166:V182" si="135">CONCATENATE(Z166)</f>
        <v>1. FC Union Berlin</v>
      </c>
      <c r="W166" s="2">
        <f t="shared" si="133"/>
        <v>14</v>
      </c>
      <c r="Y166" s="19">
        <f>RANK(AI166,$AI$165:$AI$182,0)+COUNTIF($AI$164:AI165,AI166)</f>
        <v>14</v>
      </c>
      <c r="Z166" s="19" t="str">
        <f t="shared" si="134"/>
        <v>1. FC Union Berlin</v>
      </c>
      <c r="AA166" s="19">
        <f>COUNTIFS(F4:F89,Z166,G4:G89,"&gt;=0")+COUNTIFS(I4:I89,Z166,H4:H89,"&gt;=0")</f>
        <v>8</v>
      </c>
      <c r="AB166" s="19">
        <f>COUNTIFS(F4:F89,Z166,B4:B89,3)+COUNTIFS(I4:I89,Z166,M4:M89,3)</f>
        <v>2</v>
      </c>
      <c r="AC166" s="19">
        <f>COUNTIFS(F4:F89,Z166,B4:B89,1)+COUNTIFS(I4:I89,Z166,M4:M89,1)</f>
        <v>1</v>
      </c>
      <c r="AD166" s="19">
        <f>COUNTIFS(F4:F89,Z166,B4:B89,0)+COUNTIFS(I4:I89,Z166,M4:M89,0)</f>
        <v>5</v>
      </c>
      <c r="AE166" s="19">
        <f>SUMIF(F4:F89,Z166,G4:G89)+SUMIF(I4:I89,Z166,H4:H89)</f>
        <v>8</v>
      </c>
      <c r="AF166" s="19">
        <f>SUMIF(F4:F89,Z166,H4:H89)+SUMIF(I4:I89,Z166,G4:G89)</f>
        <v>13</v>
      </c>
      <c r="AG166" s="19">
        <f>+AE166-AF166</f>
        <v>-5</v>
      </c>
      <c r="AH166" s="19">
        <f>(AB166*3)+AC166</f>
        <v>7</v>
      </c>
      <c r="AI166" s="19">
        <f t="shared" ref="AI166:AI182" si="136">SUM(AH166*1000+(AG166)/100+(AE166)/1000)</f>
        <v>6999.9579999999996</v>
      </c>
      <c r="AJ166" s="2"/>
      <c r="AW166" s="7"/>
    </row>
    <row r="167" spans="1:49" x14ac:dyDescent="0.25">
      <c r="A167" s="1"/>
      <c r="F167" s="107"/>
      <c r="G167" s="108"/>
      <c r="H167" s="108"/>
      <c r="I167" s="107"/>
      <c r="J167" s="6"/>
      <c r="O167" s="2" t="str">
        <f t="shared" si="110"/>
        <v/>
      </c>
      <c r="P167" s="2" t="str">
        <f t="shared" si="111"/>
        <v/>
      </c>
      <c r="V167" s="2" t="str">
        <f t="shared" si="135"/>
        <v>1. FSV Mainz 05</v>
      </c>
      <c r="W167" s="2">
        <f t="shared" si="133"/>
        <v>17</v>
      </c>
      <c r="Y167" s="19">
        <f>RANK(AI167,$AI$165:$AI$182,0)+COUNTIF($AI$164:AI166,AI167)</f>
        <v>17</v>
      </c>
      <c r="Z167" s="19" t="str">
        <f t="shared" si="134"/>
        <v>1. FSV Mainz 05</v>
      </c>
      <c r="AA167" s="19">
        <f>COUNTIFS(F4:F89,Z167,G4:G89,"&gt;=0")+COUNTIFS(I4:I89,Z167,H4:H89,"&gt;=0")</f>
        <v>8</v>
      </c>
      <c r="AB167" s="19">
        <f>COUNTIFS(F4:F89,Z167,B4:B89,3)+COUNTIFS(I4:I89,Z167,M4:M89,3)</f>
        <v>2</v>
      </c>
      <c r="AC167" s="19">
        <f>COUNTIFS(F4:F89,Z167,B4:B89,1)+COUNTIFS(I4:I89,Z167,M4:M89,1)</f>
        <v>0</v>
      </c>
      <c r="AD167" s="19">
        <f>COUNTIFS(F4:F89,Z167,B4:B89,0)+COUNTIFS(I4:I89,Z167,M4:M89,0)</f>
        <v>6</v>
      </c>
      <c r="AE167" s="19">
        <f>SUMIF(F4:F89,Z167,G4:G89)+SUMIF(I4:I89,Z167,H4:H89)</f>
        <v>7</v>
      </c>
      <c r="AF167" s="19">
        <f>SUMIF(F4:F89,Z167,H4:H89)+SUMIF(I4:I89,Z167,G4:G89)</f>
        <v>18</v>
      </c>
      <c r="AG167" s="19">
        <f>+AE167-AF167</f>
        <v>-11</v>
      </c>
      <c r="AH167" s="19">
        <f>(AB167*3)+AC167</f>
        <v>6</v>
      </c>
      <c r="AI167" s="19">
        <f t="shared" si="136"/>
        <v>5999.8969999999999</v>
      </c>
      <c r="AJ167" s="2"/>
      <c r="AW167" s="7"/>
    </row>
    <row r="168" spans="1:49" x14ac:dyDescent="0.25">
      <c r="A168" s="1"/>
      <c r="B168" s="2" t="str">
        <f t="shared" si="109"/>
        <v/>
      </c>
      <c r="F168" s="154" t="s">
        <v>55</v>
      </c>
      <c r="G168" s="154"/>
      <c r="H168" s="154"/>
      <c r="I168" s="154"/>
      <c r="J168" s="6"/>
      <c r="M168" s="2" t="str">
        <f t="shared" ref="M168:M177" si="137">IF(H168="","",IF(H168&gt;G168,3,IF(H168=G168,1,0)))</f>
        <v/>
      </c>
      <c r="O168" s="2" t="str">
        <f t="shared" si="110"/>
        <v/>
      </c>
      <c r="P168" s="2" t="str">
        <f t="shared" si="111"/>
        <v/>
      </c>
      <c r="V168" s="2" t="str">
        <f t="shared" si="135"/>
        <v>1899 Hoffenheim</v>
      </c>
      <c r="W168" s="2">
        <f t="shared" si="133"/>
        <v>11</v>
      </c>
      <c r="Y168" s="19">
        <f>RANK(AI168,$AI$165:$AI$182,0)+COUNTIF($AI$164:AI167,AI168)</f>
        <v>11</v>
      </c>
      <c r="Z168" s="19" t="str">
        <f t="shared" si="134"/>
        <v>1899 Hoffenheim</v>
      </c>
      <c r="AA168" s="19">
        <f>COUNTIFS(F4:F89,Z168,G4:G89,"&gt;=0")+COUNTIFS(I4:I89,Z168,H4:H89,"&gt;=0")</f>
        <v>8</v>
      </c>
      <c r="AB168" s="19">
        <f>COUNTIFS(F4:F89,Z168,B4:B89,3)+COUNTIFS(I4:I89,Z168,M4:M89,3)</f>
        <v>3</v>
      </c>
      <c r="AC168" s="19">
        <f>COUNTIFS(F4:F89,Z168,B4:B89,1)+COUNTIFS(I4:I89,Z168,M4:M89,1)</f>
        <v>2</v>
      </c>
      <c r="AD168" s="19">
        <f>COUNTIFS(F4:F89,Z168,B4:B89,0)+COUNTIFS(I4:I89,Z168,M4:M89,0)</f>
        <v>3</v>
      </c>
      <c r="AE168" s="19">
        <f>SUMIF(F4:F89,Z168,G4:G89)+SUMIF(I4:I89,Z168,H4:H89)</f>
        <v>8</v>
      </c>
      <c r="AF168" s="19">
        <f>SUMIF(F4:F89,Z168,H4:H89)+SUMIF(I4:I89,Z168,G4:G89)</f>
        <v>11</v>
      </c>
      <c r="AG168" s="19">
        <f t="shared" ref="AG168:AG182" si="138">+AE168-AF168</f>
        <v>-3</v>
      </c>
      <c r="AH168" s="19">
        <f>(AB168*3)+AC168</f>
        <v>11</v>
      </c>
      <c r="AI168" s="19">
        <f t="shared" si="136"/>
        <v>10999.977999999999</v>
      </c>
      <c r="AJ168" s="2"/>
      <c r="AW168" s="7"/>
    </row>
    <row r="169" spans="1:49" x14ac:dyDescent="0.25">
      <c r="A169" s="1"/>
      <c r="B169" s="2">
        <f t="shared" si="109"/>
        <v>1</v>
      </c>
      <c r="D169" s="61">
        <f t="shared" ref="D169:D177" si="139">IFERROR(VLOOKUP(F169,$V$305:$W$322,2,FALSE),"")</f>
        <v>3</v>
      </c>
      <c r="F169" s="9" t="s">
        <v>80</v>
      </c>
      <c r="G169" s="10">
        <v>3</v>
      </c>
      <c r="H169" s="10">
        <v>3</v>
      </c>
      <c r="I169" s="9" t="s">
        <v>81</v>
      </c>
      <c r="J169" s="6"/>
      <c r="K169" s="61">
        <f t="shared" ref="K169:K177" si="140">IFERROR(VLOOKUP(I169,$V$305:$W$322,2,FALSE),"")</f>
        <v>1</v>
      </c>
      <c r="M169" s="2">
        <f t="shared" si="137"/>
        <v>1</v>
      </c>
      <c r="O169" s="2" t="str">
        <f t="shared" si="110"/>
        <v>N</v>
      </c>
      <c r="P169" s="2" t="str">
        <f t="shared" si="111"/>
        <v>N</v>
      </c>
      <c r="S169" s="2" t="str">
        <f t="shared" ref="S169:S177" si="141">IF(M169&lt;&gt;"",F169&amp;I169,"")</f>
        <v>Borussia DortmundRB Leipzig</v>
      </c>
      <c r="T169" s="2" t="str">
        <f t="shared" ref="T169:T177" si="142">IF(S169&lt;&gt;"",G169&amp;"-"&amp;H169,"")</f>
        <v>3-3</v>
      </c>
      <c r="V169" s="2" t="str">
        <f t="shared" si="135"/>
        <v>Bayer Leverkusen</v>
      </c>
      <c r="W169" s="2">
        <f t="shared" si="133"/>
        <v>9</v>
      </c>
      <c r="Y169" s="19">
        <f>RANK(AI169,$AI$165:$AI$182,0)+COUNTIF($AI$164:AI168,AI169)</f>
        <v>9</v>
      </c>
      <c r="Z169" s="19" t="str">
        <f t="shared" si="134"/>
        <v>Bayer Leverkusen</v>
      </c>
      <c r="AA169" s="19">
        <f>COUNTIFS(F4:F89,Z169,G4:G89,"&gt;=0")+COUNTIFS(I4:I89,Z169,H4:H89,"&gt;=0")</f>
        <v>8</v>
      </c>
      <c r="AB169" s="19">
        <f>COUNTIFS(F4:F89,Z169,B4:B89,3)+COUNTIFS(I4:I89,Z169,M4:M89,3)</f>
        <v>4</v>
      </c>
      <c r="AC169" s="19">
        <f>COUNTIFS(F4:F89,Z169,B4:B89,1)+COUNTIFS(I4:I89,Z169,M4:M89,1)</f>
        <v>2</v>
      </c>
      <c r="AD169" s="19">
        <f>COUNTIFS(F4:F89,Z169,B4:B89,0)+COUNTIFS(I4:I89,Z169,M4:M89,0)</f>
        <v>2</v>
      </c>
      <c r="AE169" s="19">
        <f>SUMIF(F4:F89,Z169,G4:G89)+SUMIF(I4:I89,Z169,H4:H89)</f>
        <v>12</v>
      </c>
      <c r="AF169" s="19">
        <f>SUMIF(F4:F89,Z169,H4:H89)+SUMIF(I4:I89,Z169,G4:G89)</f>
        <v>11</v>
      </c>
      <c r="AG169" s="19">
        <f t="shared" si="138"/>
        <v>1</v>
      </c>
      <c r="AH169" s="19">
        <f>(AB169*3)+AC169</f>
        <v>14</v>
      </c>
      <c r="AI169" s="19">
        <f t="shared" si="136"/>
        <v>14000.022000000001</v>
      </c>
      <c r="AJ169" s="2"/>
      <c r="AW169" s="7"/>
    </row>
    <row r="170" spans="1:49" x14ac:dyDescent="0.25">
      <c r="A170" s="1"/>
      <c r="B170" s="2">
        <f t="shared" si="109"/>
        <v>0</v>
      </c>
      <c r="D170" s="61">
        <f t="shared" si="139"/>
        <v>7</v>
      </c>
      <c r="F170" s="9" t="s">
        <v>83</v>
      </c>
      <c r="G170" s="10">
        <v>0</v>
      </c>
      <c r="H170" s="10">
        <v>1</v>
      </c>
      <c r="I170" s="9" t="s">
        <v>88</v>
      </c>
      <c r="J170" s="6"/>
      <c r="K170" s="61">
        <f t="shared" si="140"/>
        <v>13</v>
      </c>
      <c r="M170" s="2">
        <f t="shared" si="137"/>
        <v>3</v>
      </c>
      <c r="O170" s="2" t="str">
        <f t="shared" si="110"/>
        <v>P</v>
      </c>
      <c r="P170" s="2" t="str">
        <f t="shared" si="111"/>
        <v>G</v>
      </c>
      <c r="S170" s="2" t="str">
        <f t="shared" si="141"/>
        <v>Bayer LeverkusenHertha BSC</v>
      </c>
      <c r="T170" s="2" t="str">
        <f t="shared" si="142"/>
        <v>0-1</v>
      </c>
      <c r="V170" s="2" t="str">
        <f t="shared" si="135"/>
        <v>Bayern München</v>
      </c>
      <c r="W170" s="2">
        <f t="shared" si="133"/>
        <v>3</v>
      </c>
      <c r="Y170" s="19">
        <f>RANK(AI170,$AI$165:$AI$182,0)+COUNTIF($AI$164:AI169,AI170)</f>
        <v>3</v>
      </c>
      <c r="Z170" s="19" t="str">
        <f t="shared" si="134"/>
        <v>Bayern München</v>
      </c>
      <c r="AA170" s="19">
        <f>COUNTIFS(F4:F89,Z170,G4:G89,"&gt;=0")+COUNTIFS(I4:I89,Z170,H4:H89,"&gt;=0")</f>
        <v>8</v>
      </c>
      <c r="AB170" s="19">
        <f>COUNTIFS(F4:F89,Z170,B4:B89,3)+COUNTIFS(I4:I89,Z170,M4:M89,3)</f>
        <v>4</v>
      </c>
      <c r="AC170" s="19">
        <f>COUNTIFS(F4:F89,Z170,B4:B89,1)+COUNTIFS(I4:I89,Z170,M4:M89,1)</f>
        <v>3</v>
      </c>
      <c r="AD170" s="19">
        <f>COUNTIFS(F4:F89,Z170,B4:B89,0)+COUNTIFS(I4:I89,Z170,M4:M89,0)</f>
        <v>1</v>
      </c>
      <c r="AE170" s="19">
        <f>SUMIF(F4:F89,Z170,G4:G89)+SUMIF(I4:I89,Z170,H4:H89)</f>
        <v>22</v>
      </c>
      <c r="AF170" s="19">
        <f>SUMIF(F4:F89,Z170,H4:H89)+SUMIF(I4:I89,Z170,G4:G89)</f>
        <v>10</v>
      </c>
      <c r="AG170" s="19">
        <f t="shared" si="138"/>
        <v>12</v>
      </c>
      <c r="AH170" s="19">
        <f t="shared" ref="AH170:AH182" si="143">(AB170*3)+AC170</f>
        <v>15</v>
      </c>
      <c r="AI170" s="19">
        <f t="shared" si="136"/>
        <v>15000.142000000002</v>
      </c>
      <c r="AJ170" s="2"/>
      <c r="AW170" s="7"/>
    </row>
    <row r="171" spans="1:49" x14ac:dyDescent="0.25">
      <c r="A171" s="1"/>
      <c r="B171" s="2">
        <f t="shared" si="109"/>
        <v>3</v>
      </c>
      <c r="D171" s="61">
        <f t="shared" si="139"/>
        <v>2</v>
      </c>
      <c r="F171" s="9" t="s">
        <v>82</v>
      </c>
      <c r="G171" s="10">
        <v>2</v>
      </c>
      <c r="H171" s="10">
        <v>0</v>
      </c>
      <c r="I171" s="9" t="s">
        <v>148</v>
      </c>
      <c r="J171" s="6"/>
      <c r="K171" s="61">
        <f t="shared" si="140"/>
        <v>18</v>
      </c>
      <c r="M171" s="2">
        <f t="shared" si="137"/>
        <v>0</v>
      </c>
      <c r="O171" s="2" t="str">
        <f t="shared" si="110"/>
        <v>G</v>
      </c>
      <c r="P171" s="2" t="str">
        <f t="shared" si="111"/>
        <v>P</v>
      </c>
      <c r="S171" s="2" t="str">
        <f t="shared" si="141"/>
        <v>Bor. MönchengladbachSC Paderborn 07</v>
      </c>
      <c r="T171" s="2" t="str">
        <f t="shared" si="142"/>
        <v>2-0</v>
      </c>
      <c r="V171" s="2" t="str">
        <f t="shared" si="135"/>
        <v>Bor. Mönchengladbach</v>
      </c>
      <c r="W171" s="2">
        <f t="shared" si="133"/>
        <v>1</v>
      </c>
      <c r="Y171" s="19">
        <f>RANK(AI171,$AI$165:$AI$182,0)+COUNTIF($AI$164:AI170,AI171)</f>
        <v>1</v>
      </c>
      <c r="Z171" s="19" t="str">
        <f t="shared" si="134"/>
        <v>Bor. Mönchengladbach</v>
      </c>
      <c r="AA171" s="19">
        <f>COUNTIFS(F4:F89,Z171,G4:G89,"&gt;=0")+COUNTIFS(I4:I89,Z171,H4:H89,"&gt;=0")</f>
        <v>8</v>
      </c>
      <c r="AB171" s="19">
        <f>COUNTIFS(F4:F89,Z171,B4:B89,3)+COUNTIFS(I4:I89,Z171,M4:M89,3)</f>
        <v>5</v>
      </c>
      <c r="AC171" s="19">
        <f>COUNTIFS(F4:F89,Z171,B4:B89,1)+COUNTIFS(I4:I89,Z171,M4:M89,1)</f>
        <v>1</v>
      </c>
      <c r="AD171" s="19">
        <f>COUNTIFS(F4:F89,Z171,B4:B89,0)+COUNTIFS(I4:I89,Z171,M4:M89,0)</f>
        <v>2</v>
      </c>
      <c r="AE171" s="19">
        <f>SUMIF(F4:F89,Z171,G4:G89)+SUMIF(I4:I89,Z171,H4:H89)</f>
        <v>15</v>
      </c>
      <c r="AF171" s="19">
        <f>SUMIF(F4:F89,Z171,H4:H89)+SUMIF(I4:I89,Z171,G4:G89)</f>
        <v>7</v>
      </c>
      <c r="AG171" s="19">
        <f t="shared" si="138"/>
        <v>8</v>
      </c>
      <c r="AH171" s="19">
        <f t="shared" si="143"/>
        <v>16</v>
      </c>
      <c r="AI171" s="19">
        <f t="shared" si="136"/>
        <v>16000.094999999999</v>
      </c>
      <c r="AJ171" s="2"/>
      <c r="AW171" s="7"/>
    </row>
    <row r="172" spans="1:49" x14ac:dyDescent="0.25">
      <c r="A172" s="1"/>
      <c r="B172" s="2">
        <f t="shared" si="109"/>
        <v>1</v>
      </c>
      <c r="D172" s="61">
        <f t="shared" si="139"/>
        <v>8</v>
      </c>
      <c r="F172" s="9" t="s">
        <v>85</v>
      </c>
      <c r="G172" s="10">
        <v>1</v>
      </c>
      <c r="H172" s="10">
        <v>1</v>
      </c>
      <c r="I172" s="9" t="s">
        <v>93</v>
      </c>
      <c r="J172" s="6"/>
      <c r="K172" s="61">
        <f t="shared" si="140"/>
        <v>4</v>
      </c>
      <c r="M172" s="2">
        <f t="shared" si="137"/>
        <v>1</v>
      </c>
      <c r="O172" s="2" t="str">
        <f t="shared" si="110"/>
        <v>N</v>
      </c>
      <c r="P172" s="2" t="str">
        <f t="shared" si="111"/>
        <v>N</v>
      </c>
      <c r="S172" s="2" t="str">
        <f t="shared" si="141"/>
        <v>VfL WolfsburgFC Schalke 04</v>
      </c>
      <c r="T172" s="2" t="str">
        <f t="shared" si="142"/>
        <v>1-1</v>
      </c>
      <c r="V172" s="2" t="str">
        <f t="shared" si="135"/>
        <v>Borussia Dortmund</v>
      </c>
      <c r="W172" s="2">
        <f t="shared" si="133"/>
        <v>4</v>
      </c>
      <c r="Y172" s="19">
        <f>RANK(AI172,$AI$165:$AI$182,0)+COUNTIF($AI$164:AI171,AI172)</f>
        <v>4</v>
      </c>
      <c r="Z172" s="19" t="str">
        <f t="shared" si="134"/>
        <v>Borussia Dortmund</v>
      </c>
      <c r="AA172" s="19">
        <f>COUNTIFS(F4:F89,Z172,G4:G89,"&gt;=0")+COUNTIFS(I4:I89,Z172,H4:H89,"&gt;=0")</f>
        <v>8</v>
      </c>
      <c r="AB172" s="19">
        <f>COUNTIFS(F4:F89,Z172,B4:B89,3)+COUNTIFS(I4:I89,Z172,M4:M89,3)</f>
        <v>4</v>
      </c>
      <c r="AC172" s="19">
        <f>COUNTIFS(F4:F89,Z172,B4:B89,1)+COUNTIFS(I4:I89,Z172,M4:M89,1)</f>
        <v>3</v>
      </c>
      <c r="AD172" s="19">
        <f>COUNTIFS(F4:F89,Z172,B4:B89,0)+COUNTIFS(I4:I89,Z172,M4:M89,0)</f>
        <v>1</v>
      </c>
      <c r="AE172" s="19">
        <f>SUMIF(F4:F89,Z172,G4:G89)+SUMIF(I4:I89,Z172,H4:H89)</f>
        <v>20</v>
      </c>
      <c r="AF172" s="19">
        <f>SUMIF(F4:F89,Z172,H4:H89)+SUMIF(I4:I89,Z172,G4:G89)</f>
        <v>11</v>
      </c>
      <c r="AG172" s="19">
        <f t="shared" si="138"/>
        <v>9</v>
      </c>
      <c r="AH172" s="19">
        <f t="shared" si="143"/>
        <v>15</v>
      </c>
      <c r="AI172" s="19">
        <f t="shared" si="136"/>
        <v>15000.11</v>
      </c>
      <c r="AJ172" s="2"/>
      <c r="AW172" s="7"/>
    </row>
    <row r="173" spans="1:49" x14ac:dyDescent="0.25">
      <c r="A173" s="1"/>
      <c r="B173" s="2">
        <f t="shared" si="109"/>
        <v>0</v>
      </c>
      <c r="D173" s="61">
        <f t="shared" si="139"/>
        <v>12</v>
      </c>
      <c r="F173" s="9" t="s">
        <v>84</v>
      </c>
      <c r="G173" s="10">
        <v>2</v>
      </c>
      <c r="H173" s="10">
        <v>4</v>
      </c>
      <c r="I173" s="9" t="s">
        <v>161</v>
      </c>
      <c r="J173" s="6"/>
      <c r="K173" s="61">
        <f t="shared" si="140"/>
        <v>17</v>
      </c>
      <c r="M173" s="2">
        <f t="shared" si="137"/>
        <v>3</v>
      </c>
      <c r="O173" s="2" t="str">
        <f t="shared" si="110"/>
        <v>P</v>
      </c>
      <c r="P173" s="2" t="str">
        <f t="shared" si="111"/>
        <v>G</v>
      </c>
      <c r="S173" s="2" t="str">
        <f t="shared" si="141"/>
        <v>Eintracht Frankfurt1. FC Köln</v>
      </c>
      <c r="T173" s="2" t="str">
        <f t="shared" si="142"/>
        <v>2-4</v>
      </c>
      <c r="V173" s="2" t="str">
        <f t="shared" si="135"/>
        <v>Eintracht Frankfurt</v>
      </c>
      <c r="W173" s="2">
        <f t="shared" si="133"/>
        <v>8</v>
      </c>
      <c r="Y173" s="19">
        <f>RANK(AI173,$AI$165:$AI$182,0)+COUNTIF($AI$164:AI172,AI173)</f>
        <v>8</v>
      </c>
      <c r="Z173" s="19" t="str">
        <f t="shared" si="134"/>
        <v>Eintracht Frankfurt</v>
      </c>
      <c r="AA173" s="19">
        <f>COUNTIFS(F4:F89,Z173,G4:G89,"&gt;=0")+COUNTIFS(I4:I89,Z173,H4:H89,"&gt;=0")</f>
        <v>8</v>
      </c>
      <c r="AB173" s="19">
        <f>COUNTIFS(F4:F89,Z173,B4:B89,3)+COUNTIFS(I4:I89,Z173,M4:M89,3)</f>
        <v>4</v>
      </c>
      <c r="AC173" s="19">
        <f>COUNTIFS(F4:F89,Z173,B4:B89,1)+COUNTIFS(I4:I89,Z173,M4:M89,1)</f>
        <v>2</v>
      </c>
      <c r="AD173" s="19">
        <f>COUNTIFS(F4:F89,Z173,B4:B89,0)+COUNTIFS(I4:I89,Z173,M4:M89,0)</f>
        <v>2</v>
      </c>
      <c r="AE173" s="19">
        <f>SUMIF(F4:F89,Z173,G4:G89)+SUMIF(I4:I89,Z173,H4:H89)</f>
        <v>14</v>
      </c>
      <c r="AF173" s="19">
        <f>SUMIF(F4:F89,Z173,H4:H89)+SUMIF(I4:I89,Z173,G4:G89)</f>
        <v>10</v>
      </c>
      <c r="AG173" s="19">
        <f t="shared" si="138"/>
        <v>4</v>
      </c>
      <c r="AH173" s="19">
        <f t="shared" si="143"/>
        <v>14</v>
      </c>
      <c r="AI173" s="19">
        <f t="shared" si="136"/>
        <v>14000.054</v>
      </c>
      <c r="AJ173" s="2"/>
      <c r="AW173" s="7"/>
    </row>
    <row r="174" spans="1:49" x14ac:dyDescent="0.25">
      <c r="A174" s="1"/>
      <c r="B174" s="2">
        <f t="shared" si="109"/>
        <v>0</v>
      </c>
      <c r="D174" s="61">
        <f t="shared" si="139"/>
        <v>15</v>
      </c>
      <c r="F174" s="9" t="s">
        <v>87</v>
      </c>
      <c r="G174" s="10">
        <v>0</v>
      </c>
      <c r="H174" s="10">
        <v>5</v>
      </c>
      <c r="I174" s="9" t="s">
        <v>90</v>
      </c>
      <c r="J174" s="6"/>
      <c r="K174" s="61">
        <f t="shared" si="140"/>
        <v>14</v>
      </c>
      <c r="M174" s="2">
        <f t="shared" si="137"/>
        <v>3</v>
      </c>
      <c r="O174" s="2" t="str">
        <f t="shared" si="110"/>
        <v>P</v>
      </c>
      <c r="P174" s="2" t="str">
        <f t="shared" si="111"/>
        <v>G</v>
      </c>
      <c r="S174" s="2" t="str">
        <f t="shared" si="141"/>
        <v>Werder Bremen1. FSV Mainz 05</v>
      </c>
      <c r="T174" s="2" t="str">
        <f t="shared" si="142"/>
        <v>0-5</v>
      </c>
      <c r="V174" s="2" t="str">
        <f t="shared" si="135"/>
        <v>FC Augsburg</v>
      </c>
      <c r="W174" s="2">
        <f t="shared" si="133"/>
        <v>16</v>
      </c>
      <c r="Y174" s="19">
        <f>RANK(AI174,$AI$165:$AI$182,0)+COUNTIF($AI$164:AI173,AI174)</f>
        <v>16</v>
      </c>
      <c r="Z174" s="19" t="str">
        <f t="shared" si="134"/>
        <v>FC Augsburg</v>
      </c>
      <c r="AA174" s="19">
        <f>COUNTIFS(F4:F89,Z174,G4:G89,"&gt;=0")+COUNTIFS(I4:I89,Z174,H4:H89,"&gt;=0")</f>
        <v>8</v>
      </c>
      <c r="AB174" s="19">
        <f>COUNTIFS(F4:F89,Z174,B4:B89,3)+COUNTIFS(I4:I89,Z174,M4:M89,3)</f>
        <v>1</v>
      </c>
      <c r="AC174" s="19">
        <f>COUNTIFS(F4:F89,Z174,B4:B89,1)+COUNTIFS(I4:I89,Z174,M4:M89,1)</f>
        <v>3</v>
      </c>
      <c r="AD174" s="19">
        <f>COUNTIFS(F4:F89,Z174,B4:B89,0)+COUNTIFS(I4:I89,Z174,M4:M89,0)</f>
        <v>4</v>
      </c>
      <c r="AE174" s="19">
        <f>SUMIF(F4:F89,Z174,G4:G89)+SUMIF(I4:I89,Z174,H4:H89)</f>
        <v>10</v>
      </c>
      <c r="AF174" s="19">
        <f>SUMIF(F4:F89,Z174,H4:H89)+SUMIF(I4:I89,Z174,G4:G89)</f>
        <v>21</v>
      </c>
      <c r="AG174" s="19">
        <f t="shared" si="138"/>
        <v>-11</v>
      </c>
      <c r="AH174" s="19">
        <f t="shared" si="143"/>
        <v>6</v>
      </c>
      <c r="AI174" s="19">
        <f t="shared" si="136"/>
        <v>5999.9000000000005</v>
      </c>
      <c r="AJ174" s="2"/>
      <c r="AW174" s="7"/>
    </row>
    <row r="175" spans="1:49" x14ac:dyDescent="0.25">
      <c r="A175" s="1"/>
      <c r="B175" s="2">
        <f t="shared" si="109"/>
        <v>0</v>
      </c>
      <c r="D175" s="61">
        <f t="shared" si="139"/>
        <v>6</v>
      </c>
      <c r="F175" s="9" t="s">
        <v>91</v>
      </c>
      <c r="G175" s="10">
        <v>1</v>
      </c>
      <c r="H175" s="10">
        <v>3</v>
      </c>
      <c r="I175" s="9" t="s">
        <v>79</v>
      </c>
      <c r="J175" s="6"/>
      <c r="K175" s="61">
        <f t="shared" si="140"/>
        <v>5</v>
      </c>
      <c r="M175" s="2">
        <f t="shared" si="137"/>
        <v>3</v>
      </c>
      <c r="O175" s="2" t="str">
        <f t="shared" si="110"/>
        <v>P</v>
      </c>
      <c r="P175" s="2" t="str">
        <f t="shared" si="111"/>
        <v>G</v>
      </c>
      <c r="S175" s="2" t="str">
        <f t="shared" si="141"/>
        <v>SC FreiburgBayern München</v>
      </c>
      <c r="T175" s="2" t="str">
        <f t="shared" si="142"/>
        <v>1-3</v>
      </c>
      <c r="V175" s="2" t="str">
        <f t="shared" si="135"/>
        <v>FC Schalke 04</v>
      </c>
      <c r="W175" s="2">
        <f t="shared" si="133"/>
        <v>7</v>
      </c>
      <c r="Y175" s="19">
        <f>RANK(AI175,$AI$165:$AI$182,0)+COUNTIF($AI$164:AI174,AI175)</f>
        <v>7</v>
      </c>
      <c r="Z175" s="19" t="str">
        <f t="shared" si="134"/>
        <v>FC Schalke 04</v>
      </c>
      <c r="AA175" s="19">
        <f>COUNTIFS(F4:F89,Z175,G4:G89,"&gt;=0")+COUNTIFS(I4:I89,Z175,H4:H89,"&gt;=0")</f>
        <v>8</v>
      </c>
      <c r="AB175" s="19">
        <f>COUNTIFS(F4:F89,Z175,B4:B89,3)+COUNTIFS(I4:I89,Z175,M4:M89,3)</f>
        <v>4</v>
      </c>
      <c r="AC175" s="19">
        <f>COUNTIFS(F4:F89,Z175,B4:B89,1)+COUNTIFS(I4:I89,Z175,M4:M89,1)</f>
        <v>2</v>
      </c>
      <c r="AD175" s="19">
        <f>COUNTIFS(F4:F89,Z175,B4:B89,0)+COUNTIFS(I4:I89,Z175,M4:M89,0)</f>
        <v>2</v>
      </c>
      <c r="AE175" s="19">
        <f>SUMIF(F4:F89,Z175,G4:G89)+SUMIF(I4:I89,Z175,H4:H89)</f>
        <v>14</v>
      </c>
      <c r="AF175" s="19">
        <f>SUMIF(F4:F89,Z175,H4:H89)+SUMIF(I4:I89,Z175,G4:G89)</f>
        <v>9</v>
      </c>
      <c r="AG175" s="19">
        <f t="shared" si="138"/>
        <v>5</v>
      </c>
      <c r="AH175" s="19">
        <f t="shared" si="143"/>
        <v>14</v>
      </c>
      <c r="AI175" s="19">
        <f t="shared" si="136"/>
        <v>14000.063999999998</v>
      </c>
      <c r="AJ175" s="2"/>
      <c r="AW175" s="7"/>
    </row>
    <row r="176" spans="1:49" x14ac:dyDescent="0.25">
      <c r="A176" s="1"/>
      <c r="B176" s="2">
        <f t="shared" si="109"/>
        <v>3</v>
      </c>
      <c r="D176" s="61">
        <f t="shared" si="139"/>
        <v>11</v>
      </c>
      <c r="F176" s="9" t="s">
        <v>92</v>
      </c>
      <c r="G176" s="10">
        <v>3</v>
      </c>
      <c r="H176" s="10">
        <v>0</v>
      </c>
      <c r="I176" s="9" t="s">
        <v>89</v>
      </c>
      <c r="J176" s="6"/>
      <c r="K176" s="61">
        <f t="shared" si="140"/>
        <v>16</v>
      </c>
      <c r="M176" s="2">
        <f t="shared" si="137"/>
        <v>0</v>
      </c>
      <c r="O176" s="2" t="str">
        <f t="shared" si="110"/>
        <v>G</v>
      </c>
      <c r="P176" s="2" t="str">
        <f t="shared" si="111"/>
        <v>P</v>
      </c>
      <c r="S176" s="2" t="str">
        <f t="shared" si="141"/>
        <v>FC AugsburgFortuna Düsseldorf</v>
      </c>
      <c r="T176" s="2" t="str">
        <f t="shared" si="142"/>
        <v>3-0</v>
      </c>
      <c r="V176" s="2" t="str">
        <f t="shared" si="135"/>
        <v>Fortuna Düsseldorf</v>
      </c>
      <c r="W176" s="2">
        <f t="shared" si="133"/>
        <v>13</v>
      </c>
      <c r="Y176" s="19">
        <f>RANK(AI176,$AI$165:$AI$182,0)+COUNTIF($AI$164:AI175,AI176)</f>
        <v>13</v>
      </c>
      <c r="Z176" s="19" t="str">
        <f t="shared" si="134"/>
        <v>Fortuna Düsseldorf</v>
      </c>
      <c r="AA176" s="19">
        <f>COUNTIFS(F4:F89,Z176,G4:G89,"&gt;=0")+COUNTIFS(I4:I89,Z176,H4:H89,"&gt;=0")</f>
        <v>8</v>
      </c>
      <c r="AB176" s="19">
        <f>COUNTIFS(F4:F89,Z176,B4:B89,3)+COUNTIFS(I4:I89,Z176,M4:M89,3)</f>
        <v>2</v>
      </c>
      <c r="AC176" s="19">
        <f>COUNTIFS(F4:F89,Z176,B4:B89,1)+COUNTIFS(I4:I89,Z176,M4:M89,1)</f>
        <v>1</v>
      </c>
      <c r="AD176" s="19">
        <f>COUNTIFS(F4:F89,Z176,B4:B89,0)+COUNTIFS(I4:I89,Z176,M4:M89,0)</f>
        <v>5</v>
      </c>
      <c r="AE176" s="19">
        <f>SUMIF(F4:F89,Z176,G4:G89)+SUMIF(I4:I89,Z176,H4:H89)</f>
        <v>10</v>
      </c>
      <c r="AF176" s="19">
        <f>SUMIF(F4:F89,Z176,H4:H89)+SUMIF(I4:I89,Z176,G4:G89)</f>
        <v>14</v>
      </c>
      <c r="AG176" s="19">
        <f t="shared" si="138"/>
        <v>-4</v>
      </c>
      <c r="AH176" s="19">
        <f t="shared" si="143"/>
        <v>7</v>
      </c>
      <c r="AI176" s="19">
        <f t="shared" si="136"/>
        <v>6999.97</v>
      </c>
      <c r="AJ176" s="2"/>
      <c r="AW176" s="7"/>
    </row>
    <row r="177" spans="1:49" x14ac:dyDescent="0.25">
      <c r="A177" s="1"/>
      <c r="B177" s="2">
        <f t="shared" si="109"/>
        <v>0</v>
      </c>
      <c r="D177" s="61">
        <f t="shared" si="139"/>
        <v>10</v>
      </c>
      <c r="F177" s="9" t="s">
        <v>162</v>
      </c>
      <c r="G177" s="10">
        <v>0</v>
      </c>
      <c r="H177" s="10">
        <v>2</v>
      </c>
      <c r="I177" s="9" t="s">
        <v>86</v>
      </c>
      <c r="J177" s="6"/>
      <c r="K177" s="61">
        <f t="shared" si="140"/>
        <v>9</v>
      </c>
      <c r="M177" s="2">
        <f t="shared" si="137"/>
        <v>3</v>
      </c>
      <c r="O177" s="2" t="str">
        <f t="shared" si="110"/>
        <v>P</v>
      </c>
      <c r="P177" s="2" t="str">
        <f t="shared" si="111"/>
        <v>G</v>
      </c>
      <c r="S177" s="2" t="str">
        <f t="shared" si="141"/>
        <v>1. FC Union Berlin1899 Hoffenheim</v>
      </c>
      <c r="T177" s="2" t="str">
        <f t="shared" si="142"/>
        <v>0-2</v>
      </c>
      <c r="V177" s="2" t="str">
        <f t="shared" si="135"/>
        <v>Hertha BSC</v>
      </c>
      <c r="W177" s="2">
        <f t="shared" si="133"/>
        <v>10</v>
      </c>
      <c r="Y177" s="19">
        <f>RANK(AI177,$AI$165:$AI$182,0)+COUNTIF($AI$164:AI176,AI177)</f>
        <v>10</v>
      </c>
      <c r="Z177" s="19" t="str">
        <f t="shared" si="134"/>
        <v>Hertha BSC</v>
      </c>
      <c r="AA177" s="19">
        <f>COUNTIFS(F4:F89,Z177,G4:G89,"&gt;=0")+COUNTIFS(I4:I89,Z177,H4:H89,"&gt;=0")</f>
        <v>8</v>
      </c>
      <c r="AB177" s="19">
        <f>COUNTIFS(F4:F89,Z177,B4:B89,3)+COUNTIFS(I4:I89,Z177,M4:M89,3)</f>
        <v>3</v>
      </c>
      <c r="AC177" s="19">
        <f>COUNTIFS(F4:F89,Z177,B4:B89,1)+COUNTIFS(I4:I89,Z177,M4:M89,1)</f>
        <v>2</v>
      </c>
      <c r="AD177" s="19">
        <f>COUNTIFS(F4:F89,Z177,B4:B89,0)+COUNTIFS(I4:I89,Z177,M4:M89,0)</f>
        <v>3</v>
      </c>
      <c r="AE177" s="19">
        <f>SUMIF(F4:F89,Z177,G4:G89)+SUMIF(I4:I89,Z177,H4:H89)</f>
        <v>13</v>
      </c>
      <c r="AF177" s="19">
        <f>SUMIF(F4:F89,Z177,H4:H89)+SUMIF(I4:I89,Z177,G4:G89)</f>
        <v>13</v>
      </c>
      <c r="AG177" s="19">
        <f t="shared" si="138"/>
        <v>0</v>
      </c>
      <c r="AH177" s="19">
        <f t="shared" si="143"/>
        <v>11</v>
      </c>
      <c r="AI177" s="19">
        <f t="shared" si="136"/>
        <v>11000.013000000001</v>
      </c>
      <c r="AJ177" s="2"/>
      <c r="AW177" s="7"/>
    </row>
    <row r="178" spans="1:49" x14ac:dyDescent="0.25">
      <c r="A178" s="1"/>
      <c r="F178" s="107"/>
      <c r="G178" s="108"/>
      <c r="H178" s="108"/>
      <c r="I178" s="107"/>
      <c r="J178" s="6"/>
      <c r="O178" s="2" t="str">
        <f t="shared" si="110"/>
        <v/>
      </c>
      <c r="P178" s="2" t="str">
        <f t="shared" si="111"/>
        <v/>
      </c>
      <c r="V178" s="2" t="str">
        <f t="shared" si="135"/>
        <v>RB Leipzig</v>
      </c>
      <c r="W178" s="2">
        <f t="shared" si="133"/>
        <v>5</v>
      </c>
      <c r="Y178" s="19">
        <f>RANK(AI178,$AI$165:$AI$182,0)+COUNTIF($AI$164:AI177,AI178)</f>
        <v>5</v>
      </c>
      <c r="Z178" s="19" t="str">
        <f t="shared" si="134"/>
        <v>RB Leipzig</v>
      </c>
      <c r="AA178" s="19">
        <f>COUNTIFS(F4:F89,Z178,G4:G89,"&gt;=0")+COUNTIFS(I4:I89,Z178,H4:H89,"&gt;=0")</f>
        <v>8</v>
      </c>
      <c r="AB178" s="19">
        <f>COUNTIFS(F4:F89,Z178,B4:B89,3)+COUNTIFS(I4:I89,Z178,M4:M89,3)</f>
        <v>4</v>
      </c>
      <c r="AC178" s="19">
        <f>COUNTIFS(F4:F89,Z178,B4:B89,1)+COUNTIFS(I4:I89,Z178,M4:M89,1)</f>
        <v>3</v>
      </c>
      <c r="AD178" s="19">
        <f>COUNTIFS(F4:F89,Z178,B4:B89,0)+COUNTIFS(I4:I89,Z178,M4:M89,0)</f>
        <v>1</v>
      </c>
      <c r="AE178" s="19">
        <f>SUMIF(F4:F89,Z178,G4:G89)+SUMIF(I4:I89,Z178,H4:H89)</f>
        <v>16</v>
      </c>
      <c r="AF178" s="19">
        <f>SUMIF(F4:F89,Z178,H4:H89)+SUMIF(I4:I89,Z178,G4:G89)</f>
        <v>8</v>
      </c>
      <c r="AG178" s="19">
        <f t="shared" si="138"/>
        <v>8</v>
      </c>
      <c r="AH178" s="19">
        <f t="shared" si="143"/>
        <v>15</v>
      </c>
      <c r="AI178" s="19">
        <f t="shared" si="136"/>
        <v>15000.096</v>
      </c>
      <c r="AJ178" s="2"/>
      <c r="AW178" s="7"/>
    </row>
    <row r="179" spans="1:49" x14ac:dyDescent="0.25">
      <c r="A179" s="1"/>
      <c r="B179" s="2" t="str">
        <f t="shared" si="109"/>
        <v/>
      </c>
      <c r="F179" s="154" t="s">
        <v>56</v>
      </c>
      <c r="G179" s="154"/>
      <c r="H179" s="154"/>
      <c r="I179" s="154"/>
      <c r="J179" s="6"/>
      <c r="M179" s="2" t="str">
        <f t="shared" ref="M179:M188" si="144">IF(H179="","",IF(H179&gt;G179,3,IF(H179=G179,1,0)))</f>
        <v/>
      </c>
      <c r="O179" s="2" t="str">
        <f t="shared" si="110"/>
        <v/>
      </c>
      <c r="P179" s="2" t="str">
        <f t="shared" si="111"/>
        <v/>
      </c>
      <c r="V179" s="2" t="str">
        <f t="shared" si="135"/>
        <v>SC Freiburg</v>
      </c>
      <c r="W179" s="2">
        <f t="shared" si="133"/>
        <v>6</v>
      </c>
      <c r="Y179" s="19">
        <f>RANK(AI179,$AI$165:$AI$182,0)+COUNTIF($AI$164:AI178,AI179)</f>
        <v>6</v>
      </c>
      <c r="Z179" s="19" t="str">
        <f t="shared" si="134"/>
        <v>SC Freiburg</v>
      </c>
      <c r="AA179" s="19">
        <f>COUNTIFS(F4:F89,Z179,G4:G89,"&gt;=0")+COUNTIFS(I4:I89,Z179,H4:H89,"&gt;=0")</f>
        <v>8</v>
      </c>
      <c r="AB179" s="19">
        <f>COUNTIFS(F4:F89,Z179,B4:B89,3)+COUNTIFS(I4:I89,Z179,M4:M89,3)</f>
        <v>4</v>
      </c>
      <c r="AC179" s="19">
        <f>COUNTIFS(F4:F89,Z179,B4:B89,1)+COUNTIFS(I4:I89,Z179,M4:M89,1)</f>
        <v>2</v>
      </c>
      <c r="AD179" s="19">
        <f>COUNTIFS(F4:F89,Z179,B4:B89,0)+COUNTIFS(I4:I89,Z179,M4:M89,0)</f>
        <v>2</v>
      </c>
      <c r="AE179" s="19">
        <f>SUMIF(F4:F89,Z179,G4:G89)+SUMIF(I4:I89,Z179,H4:H89)</f>
        <v>15</v>
      </c>
      <c r="AF179" s="19">
        <f>SUMIF(F4:F89,Z179,H4:H89)+SUMIF(I4:I89,Z179,G4:G89)</f>
        <v>9</v>
      </c>
      <c r="AG179" s="19">
        <f t="shared" si="138"/>
        <v>6</v>
      </c>
      <c r="AH179" s="19">
        <f t="shared" si="143"/>
        <v>14</v>
      </c>
      <c r="AI179" s="19">
        <f t="shared" si="136"/>
        <v>14000.074999999999</v>
      </c>
      <c r="AW179" s="7"/>
    </row>
    <row r="180" spans="1:49" x14ac:dyDescent="0.25">
      <c r="A180" s="1"/>
      <c r="B180" s="2">
        <f t="shared" si="109"/>
        <v>3</v>
      </c>
      <c r="D180" s="61">
        <f t="shared" ref="D180:D188" si="145">IFERROR(VLOOKUP(F180,$V$325:$W$342,2,FALSE),"")</f>
        <v>3</v>
      </c>
      <c r="F180" s="9" t="s">
        <v>79</v>
      </c>
      <c r="G180" s="10">
        <v>2</v>
      </c>
      <c r="H180" s="10">
        <v>0</v>
      </c>
      <c r="I180" s="9" t="s">
        <v>85</v>
      </c>
      <c r="J180" s="6"/>
      <c r="K180" s="61">
        <f t="shared" ref="K180:K188" si="146">IFERROR(VLOOKUP(I180,$V$325:$W$342,2,FALSE),"")</f>
        <v>8</v>
      </c>
      <c r="M180" s="2">
        <f t="shared" si="144"/>
        <v>0</v>
      </c>
      <c r="O180" s="2" t="str">
        <f t="shared" si="110"/>
        <v>G</v>
      </c>
      <c r="P180" s="2" t="str">
        <f t="shared" si="111"/>
        <v>P</v>
      </c>
      <c r="S180" s="2" t="str">
        <f t="shared" ref="S180:S188" si="147">IF(M180&lt;&gt;"",F180&amp;I180,"")</f>
        <v>Bayern MünchenVfL Wolfsburg</v>
      </c>
      <c r="T180" s="2" t="str">
        <f t="shared" ref="T180:T188" si="148">IF(S180&lt;&gt;"",G180&amp;"-"&amp;H180,"")</f>
        <v>2-0</v>
      </c>
      <c r="V180" s="2" t="str">
        <f t="shared" si="135"/>
        <v>SC Paderborn 07</v>
      </c>
      <c r="W180" s="2">
        <f t="shared" si="133"/>
        <v>18</v>
      </c>
      <c r="Y180" s="19">
        <f>RANK(AI180,$AI$165:$AI$182,0)+COUNTIF($AI$164:AI179,AI180)</f>
        <v>18</v>
      </c>
      <c r="Z180" s="19" t="str">
        <f t="shared" si="134"/>
        <v>SC Paderborn 07</v>
      </c>
      <c r="AA180" s="19">
        <f>COUNTIFS(F4:F89,Z180,G4:G89,"&gt;=0")+COUNTIFS(I4:I89,Z180,H4:H89,"&gt;=0")</f>
        <v>8</v>
      </c>
      <c r="AB180" s="19">
        <f>COUNTIFS(F4:F89,Z180,B4:B89,3)+COUNTIFS(I4:I89,Z180,M4:M89,3)</f>
        <v>0</v>
      </c>
      <c r="AC180" s="19">
        <f>COUNTIFS(F4:F89,Z180,B4:B89,1)+COUNTIFS(I4:I89,Z180,M4:M89,1)</f>
        <v>1</v>
      </c>
      <c r="AD180" s="19">
        <f>COUNTIFS(F4:F89,Z180,B4:B89,0)+COUNTIFS(I4:I89,Z180,M4:M89,0)</f>
        <v>7</v>
      </c>
      <c r="AE180" s="19">
        <f>SUMIF(F4:F89,Z180,G4:G89)+SUMIF(I4:I89,Z180,H4:H89)</f>
        <v>9</v>
      </c>
      <c r="AF180" s="19">
        <f>SUMIF(F4:F89,Z180,H4:H89)+SUMIF(I4:I89,Z180,G4:G89)</f>
        <v>22</v>
      </c>
      <c r="AG180" s="19">
        <f t="shared" si="138"/>
        <v>-13</v>
      </c>
      <c r="AH180" s="19">
        <f t="shared" si="143"/>
        <v>1</v>
      </c>
      <c r="AI180" s="19">
        <f t="shared" si="136"/>
        <v>999.87900000000002</v>
      </c>
      <c r="AJ180" s="2"/>
      <c r="AW180" s="7"/>
    </row>
    <row r="181" spans="1:49" x14ac:dyDescent="0.25">
      <c r="A181" s="1"/>
      <c r="B181" s="2">
        <f t="shared" si="109"/>
        <v>3</v>
      </c>
      <c r="D181" s="61">
        <f t="shared" si="145"/>
        <v>1</v>
      </c>
      <c r="F181" s="9" t="s">
        <v>81</v>
      </c>
      <c r="G181" s="10">
        <v>3</v>
      </c>
      <c r="H181" s="10">
        <v>1</v>
      </c>
      <c r="I181" s="9" t="s">
        <v>92</v>
      </c>
      <c r="J181" s="6"/>
      <c r="K181" s="61">
        <f t="shared" si="146"/>
        <v>10</v>
      </c>
      <c r="M181" s="2">
        <f t="shared" si="144"/>
        <v>0</v>
      </c>
      <c r="O181" s="2" t="str">
        <f t="shared" si="110"/>
        <v>G</v>
      </c>
      <c r="P181" s="2" t="str">
        <f t="shared" si="111"/>
        <v>P</v>
      </c>
      <c r="S181" s="2" t="str">
        <f t="shared" si="147"/>
        <v>RB LeipzigFC Augsburg</v>
      </c>
      <c r="T181" s="2" t="str">
        <f t="shared" si="148"/>
        <v>3-1</v>
      </c>
      <c r="V181" s="2" t="str">
        <f t="shared" si="135"/>
        <v>VfL Wolfsburg</v>
      </c>
      <c r="W181" s="2">
        <f t="shared" si="133"/>
        <v>2</v>
      </c>
      <c r="Y181" s="19">
        <f>RANK(AI181,$AI$165:$AI$182,0)+COUNTIF($AI$164:AI180,AI181)</f>
        <v>2</v>
      </c>
      <c r="Z181" s="19" t="str">
        <f t="shared" si="134"/>
        <v>VfL Wolfsburg</v>
      </c>
      <c r="AA181" s="19">
        <f>COUNTIFS(F4:F89,Z181,G4:G89,"&gt;=0")+COUNTIFS(I4:I89,Z181,H4:H89,"&gt;=0")</f>
        <v>8</v>
      </c>
      <c r="AB181" s="19">
        <f>COUNTIFS(F4:F89,Z181,B4:B89,3)+COUNTIFS(I4:I89,Z181,M4:M89,3)</f>
        <v>4</v>
      </c>
      <c r="AC181" s="19">
        <f>COUNTIFS(F4:F89,Z181,B4:B89,1)+COUNTIFS(I4:I89,Z181,M4:M89,1)</f>
        <v>4</v>
      </c>
      <c r="AD181" s="19">
        <f>COUNTIFS(F4:F89,Z181,B4:B89,0)+COUNTIFS(I4:I89,Z181,M4:M89,0)</f>
        <v>0</v>
      </c>
      <c r="AE181" s="19">
        <f>SUMIF(F4:F89,Z181,G4:G89)+SUMIF(I4:I89,Z181,H4:H89)</f>
        <v>11</v>
      </c>
      <c r="AF181" s="19">
        <f>SUMIF(F4:F89,Z181,H4:H89)+SUMIF(I4:I89,Z181,G4:G89)</f>
        <v>5</v>
      </c>
      <c r="AG181" s="19">
        <f t="shared" si="138"/>
        <v>6</v>
      </c>
      <c r="AH181" s="19">
        <f t="shared" si="143"/>
        <v>16</v>
      </c>
      <c r="AI181" s="19">
        <f t="shared" si="136"/>
        <v>16000.071</v>
      </c>
      <c r="AJ181" s="2"/>
      <c r="AW181" s="7"/>
    </row>
    <row r="182" spans="1:49" x14ac:dyDescent="0.25">
      <c r="A182" s="1"/>
      <c r="B182" s="2">
        <f t="shared" si="109"/>
        <v>3</v>
      </c>
      <c r="D182" s="61">
        <f t="shared" si="145"/>
        <v>9</v>
      </c>
      <c r="F182" s="9" t="s">
        <v>86</v>
      </c>
      <c r="G182" s="10">
        <v>2</v>
      </c>
      <c r="H182" s="10">
        <v>1</v>
      </c>
      <c r="I182" s="9" t="s">
        <v>80</v>
      </c>
      <c r="J182" s="6"/>
      <c r="K182" s="61">
        <f t="shared" si="146"/>
        <v>4</v>
      </c>
      <c r="M182" s="2">
        <f t="shared" si="144"/>
        <v>0</v>
      </c>
      <c r="O182" s="2" t="str">
        <f t="shared" si="110"/>
        <v>G</v>
      </c>
      <c r="P182" s="2" t="str">
        <f t="shared" si="111"/>
        <v>P</v>
      </c>
      <c r="S182" s="2" t="str">
        <f t="shared" si="147"/>
        <v>1899 HoffenheimBorussia Dortmund</v>
      </c>
      <c r="T182" s="2" t="str">
        <f t="shared" si="148"/>
        <v>2-1</v>
      </c>
      <c r="V182" s="2" t="str">
        <f t="shared" si="135"/>
        <v>Werder Bremen</v>
      </c>
      <c r="W182" s="2">
        <f t="shared" si="133"/>
        <v>12</v>
      </c>
      <c r="Y182" s="19">
        <f>RANK(AI182,$AI$165:$AI$182,0)+COUNTIF($AI$164:AI181,AI182)</f>
        <v>12</v>
      </c>
      <c r="Z182" s="19" t="str">
        <f t="shared" si="134"/>
        <v>Werder Bremen</v>
      </c>
      <c r="AA182" s="19">
        <f>COUNTIFS(F4:F89,Z182,G4:G89,"&gt;=0")+COUNTIFS(I4:I89,Z182,H4:H89,"&gt;=0")</f>
        <v>8</v>
      </c>
      <c r="AB182" s="19">
        <f>COUNTIFS(F4:F89,Z182,B4:B89,3)+COUNTIFS(I4:I89,Z182,M4:M89,3)</f>
        <v>2</v>
      </c>
      <c r="AC182" s="19">
        <f>COUNTIFS(F4:F89,Z182,B4:B89,1)+COUNTIFS(I4:I89,Z182,M4:M89,1)</f>
        <v>3</v>
      </c>
      <c r="AD182" s="19">
        <f>COUNTIFS(F4:F89,Z182,B4:B89,0)+COUNTIFS(I4:I89,Z182,M4:M89,0)</f>
        <v>3</v>
      </c>
      <c r="AE182" s="19">
        <f>SUMIF(F4:F89,Z182,G4:G89)+SUMIF(I4:I89,Z182,H4:H89)</f>
        <v>13</v>
      </c>
      <c r="AF182" s="19">
        <f>SUMIF(F4:F89,Z182,H4:H89)+SUMIF(I4:I89,Z182,G4:G89)</f>
        <v>17</v>
      </c>
      <c r="AG182" s="19">
        <f t="shared" si="138"/>
        <v>-4</v>
      </c>
      <c r="AH182" s="19">
        <f t="shared" si="143"/>
        <v>9</v>
      </c>
      <c r="AI182" s="19">
        <f t="shared" si="136"/>
        <v>8999.973</v>
      </c>
      <c r="AJ182" s="2"/>
      <c r="AW182" s="7"/>
    </row>
    <row r="183" spans="1:49" x14ac:dyDescent="0.25">
      <c r="A183" s="1"/>
      <c r="B183" s="2">
        <f t="shared" si="109"/>
        <v>3</v>
      </c>
      <c r="D183" s="61">
        <f t="shared" si="145"/>
        <v>17</v>
      </c>
      <c r="F183" s="9" t="s">
        <v>89</v>
      </c>
      <c r="G183" s="10">
        <v>2</v>
      </c>
      <c r="H183" s="10">
        <v>1</v>
      </c>
      <c r="I183" s="9" t="s">
        <v>162</v>
      </c>
      <c r="J183" s="6"/>
      <c r="K183" s="61">
        <f t="shared" si="146"/>
        <v>11</v>
      </c>
      <c r="M183" s="2">
        <f t="shared" si="144"/>
        <v>0</v>
      </c>
      <c r="O183" s="2" t="str">
        <f t="shared" si="110"/>
        <v>G</v>
      </c>
      <c r="P183" s="2" t="str">
        <f t="shared" si="111"/>
        <v>P</v>
      </c>
      <c r="S183" s="2" t="str">
        <f t="shared" si="147"/>
        <v>Fortuna Düsseldorf1. FC Union Berlin</v>
      </c>
      <c r="T183" s="2" t="str">
        <f t="shared" si="148"/>
        <v>2-1</v>
      </c>
      <c r="AJ183" s="2"/>
      <c r="AW183" s="7"/>
    </row>
    <row r="184" spans="1:49" x14ac:dyDescent="0.25">
      <c r="A184" s="1"/>
      <c r="B184" s="2">
        <f t="shared" si="109"/>
        <v>1</v>
      </c>
      <c r="D184" s="61">
        <f t="shared" si="145"/>
        <v>13</v>
      </c>
      <c r="F184" s="9" t="s">
        <v>88</v>
      </c>
      <c r="G184" s="10">
        <v>0</v>
      </c>
      <c r="H184" s="10">
        <v>0</v>
      </c>
      <c r="I184" s="9" t="s">
        <v>82</v>
      </c>
      <c r="J184" s="6"/>
      <c r="K184" s="61">
        <f t="shared" si="146"/>
        <v>2</v>
      </c>
      <c r="M184" s="2">
        <f t="shared" si="144"/>
        <v>1</v>
      </c>
      <c r="O184" s="2" t="str">
        <f t="shared" si="110"/>
        <v>N</v>
      </c>
      <c r="P184" s="2" t="str">
        <f t="shared" si="111"/>
        <v>N</v>
      </c>
      <c r="S184" s="2" t="str">
        <f t="shared" si="147"/>
        <v>Hertha BSCBor. Mönchengladbach</v>
      </c>
      <c r="T184" s="2" t="str">
        <f t="shared" si="148"/>
        <v>0-0</v>
      </c>
      <c r="W184" s="18">
        <v>9</v>
      </c>
      <c r="Y184" s="19"/>
      <c r="Z184" s="19" t="s">
        <v>1</v>
      </c>
      <c r="AA184" s="19" t="s">
        <v>2</v>
      </c>
      <c r="AB184" s="19" t="s">
        <v>3</v>
      </c>
      <c r="AC184" s="19" t="s">
        <v>4</v>
      </c>
      <c r="AD184" s="19" t="s">
        <v>5</v>
      </c>
      <c r="AE184" s="19" t="s">
        <v>6</v>
      </c>
      <c r="AF184" s="19" t="s">
        <v>7</v>
      </c>
      <c r="AG184" s="19" t="s">
        <v>8</v>
      </c>
      <c r="AH184" s="19" t="s">
        <v>9</v>
      </c>
      <c r="AI184" s="19" t="s">
        <v>0</v>
      </c>
      <c r="AJ184" s="2"/>
      <c r="AW184" s="7"/>
    </row>
    <row r="185" spans="1:49" x14ac:dyDescent="0.25">
      <c r="A185" s="1"/>
      <c r="B185" s="2">
        <f t="shared" si="109"/>
        <v>0</v>
      </c>
      <c r="D185" s="61">
        <f t="shared" si="145"/>
        <v>14</v>
      </c>
      <c r="F185" s="9" t="s">
        <v>90</v>
      </c>
      <c r="G185" s="10">
        <v>0</v>
      </c>
      <c r="H185" s="10">
        <v>1</v>
      </c>
      <c r="I185" s="9" t="s">
        <v>83</v>
      </c>
      <c r="J185" s="6"/>
      <c r="K185" s="61">
        <f t="shared" si="146"/>
        <v>7</v>
      </c>
      <c r="M185" s="2">
        <f t="shared" si="144"/>
        <v>3</v>
      </c>
      <c r="O185" s="2" t="str">
        <f t="shared" si="110"/>
        <v>P</v>
      </c>
      <c r="P185" s="2" t="str">
        <f t="shared" si="111"/>
        <v>G</v>
      </c>
      <c r="S185" s="2" t="str">
        <f t="shared" si="147"/>
        <v>1. FSV Mainz 05Bayer Leverkusen</v>
      </c>
      <c r="T185" s="2" t="str">
        <f t="shared" si="148"/>
        <v>0-1</v>
      </c>
      <c r="V185" s="2" t="str">
        <f>CONCATENATE(Z185)</f>
        <v>1. FC Köln</v>
      </c>
      <c r="W185" s="2">
        <f t="shared" ref="W185:W202" si="149">Y185</f>
        <v>16</v>
      </c>
      <c r="Y185" s="19">
        <f>RANK(AI185,$AI$185:$AI$202,0)+COUNTIF($AI$184:AI184,AI185)</f>
        <v>16</v>
      </c>
      <c r="Z185" s="19" t="str">
        <f t="shared" ref="Z185:Z202" si="150">CONCATENATE(Z5)</f>
        <v>1. FC Köln</v>
      </c>
      <c r="AA185" s="19">
        <f>COUNTIFS(F4:F100,Z185,G4:G100,"&gt;=0")+COUNTIFS(I4:I100,Z185,H4:H100,"&gt;=0")</f>
        <v>9</v>
      </c>
      <c r="AB185" s="19">
        <f>COUNTIFS(F4:F100,Z185,B4:B100,3)+COUNTIFS(I4:I100,Z185,M4:M100,3)</f>
        <v>2</v>
      </c>
      <c r="AC185" s="19">
        <f>COUNTIFS(F4:F100,Z185,B4:B100,1)+COUNTIFS(I4:I100,Z185,M4:M100,1)</f>
        <v>1</v>
      </c>
      <c r="AD185" s="19">
        <f>COUNTIFS(F4:F100,Z185,B4:B100,0)+COUNTIFS(I4:I100,Z185,M4:M100,0)</f>
        <v>6</v>
      </c>
      <c r="AE185" s="19">
        <f>SUMIF(F4:F100,Z185,G4:G100)+SUMIF(I4:I100,Z185,H4:H100)</f>
        <v>9</v>
      </c>
      <c r="AF185" s="19">
        <f>SUMIF(F4:F100,Z185,H4:H100)+SUMIF(I4:I100,Z185,G4:G100)</f>
        <v>19</v>
      </c>
      <c r="AG185" s="19">
        <f>+AE185-AF185</f>
        <v>-10</v>
      </c>
      <c r="AH185" s="19">
        <f>(AB185*3)+AC185</f>
        <v>7</v>
      </c>
      <c r="AI185" s="19">
        <f>SUM(AH185*1000+(AG185)/100+(AE185)/1000)</f>
        <v>6999.9089999999997</v>
      </c>
      <c r="AJ185" s="2"/>
      <c r="AW185" s="7"/>
    </row>
    <row r="186" spans="1:49" x14ac:dyDescent="0.25">
      <c r="A186" s="1"/>
      <c r="B186" s="2">
        <f t="shared" si="109"/>
        <v>1</v>
      </c>
      <c r="D186" s="61">
        <f t="shared" si="145"/>
        <v>5</v>
      </c>
      <c r="F186" s="9" t="s">
        <v>93</v>
      </c>
      <c r="G186" s="10">
        <v>2</v>
      </c>
      <c r="H186" s="10">
        <v>2</v>
      </c>
      <c r="I186" s="9" t="s">
        <v>91</v>
      </c>
      <c r="J186" s="6"/>
      <c r="K186" s="61">
        <f t="shared" si="146"/>
        <v>6</v>
      </c>
      <c r="M186" s="2">
        <f t="shared" si="144"/>
        <v>1</v>
      </c>
      <c r="O186" s="2" t="str">
        <f t="shared" si="110"/>
        <v>N</v>
      </c>
      <c r="P186" s="2" t="str">
        <f t="shared" si="111"/>
        <v>N</v>
      </c>
      <c r="S186" s="2" t="str">
        <f t="shared" si="147"/>
        <v>FC Schalke 04SC Freiburg</v>
      </c>
      <c r="T186" s="2" t="str">
        <f t="shared" si="148"/>
        <v>2-2</v>
      </c>
      <c r="V186" s="2" t="str">
        <f t="shared" ref="V186:V202" si="151">CONCATENATE(Z186)</f>
        <v>1. FC Union Berlin</v>
      </c>
      <c r="W186" s="2">
        <f t="shared" si="149"/>
        <v>15</v>
      </c>
      <c r="Y186" s="19">
        <f>RANK(AI186,$AI$185:$AI$202,0)+COUNTIF($AI$184:AI185,AI186)</f>
        <v>15</v>
      </c>
      <c r="Z186" s="19" t="str">
        <f t="shared" si="150"/>
        <v>1. FC Union Berlin</v>
      </c>
      <c r="AA186" s="19">
        <f>COUNTIFS(F4:F100,Z186,G4:G100,"&gt;=0")+COUNTIFS(I4:I100,Z186,H4:H100,"&gt;=0")</f>
        <v>9</v>
      </c>
      <c r="AB186" s="19">
        <f>COUNTIFS(F4:F100,Z186,B4:B100,3)+COUNTIFS(I4:I100,Z186,M4:M100,3)</f>
        <v>2</v>
      </c>
      <c r="AC186" s="19">
        <f>COUNTIFS(F4:F100,Z186,B4:B100,1)+COUNTIFS(I4:I100,Z186,M4:M100,1)</f>
        <v>1</v>
      </c>
      <c r="AD186" s="19">
        <f>COUNTIFS(F4:F100,Z186,B4:B100,0)+COUNTIFS(I4:I100,Z186,M4:M100,0)</f>
        <v>6</v>
      </c>
      <c r="AE186" s="19">
        <f>SUMIF(F4:F100,Z186,G4:G100)+SUMIF(I4:I100,Z186,H4:H100)</f>
        <v>9</v>
      </c>
      <c r="AF186" s="19">
        <f>SUMIF(F4:F100,Z186,H4:H100)+SUMIF(I4:I100,Z186,G4:G100)</f>
        <v>15</v>
      </c>
      <c r="AG186" s="19">
        <f>+AE186-AF186</f>
        <v>-6</v>
      </c>
      <c r="AH186" s="19">
        <f>(AB186*3)+AC186</f>
        <v>7</v>
      </c>
      <c r="AI186" s="19">
        <f t="shared" ref="AI186:AI202" si="152">SUM(AH186*1000+(AG186)/100+(AE186)/1000)</f>
        <v>6999.9489999999996</v>
      </c>
      <c r="AJ186" s="2"/>
      <c r="AW186" s="7"/>
    </row>
    <row r="187" spans="1:49" x14ac:dyDescent="0.25">
      <c r="A187" s="1"/>
      <c r="B187" s="2">
        <f t="shared" si="109"/>
        <v>3</v>
      </c>
      <c r="D187" s="61">
        <f t="shared" si="145"/>
        <v>15</v>
      </c>
      <c r="F187" s="9" t="s">
        <v>161</v>
      </c>
      <c r="G187" s="10">
        <v>1</v>
      </c>
      <c r="H187" s="10">
        <v>0</v>
      </c>
      <c r="I187" s="9" t="s">
        <v>87</v>
      </c>
      <c r="J187" s="6"/>
      <c r="K187" s="61">
        <f t="shared" si="146"/>
        <v>16</v>
      </c>
      <c r="M187" s="2">
        <f t="shared" si="144"/>
        <v>0</v>
      </c>
      <c r="O187" s="2" t="str">
        <f t="shared" si="110"/>
        <v>G</v>
      </c>
      <c r="P187" s="2" t="str">
        <f t="shared" si="111"/>
        <v>P</v>
      </c>
      <c r="S187" s="2" t="str">
        <f t="shared" si="147"/>
        <v>1. FC KölnWerder Bremen</v>
      </c>
      <c r="T187" s="2" t="str">
        <f t="shared" si="148"/>
        <v>1-0</v>
      </c>
      <c r="V187" s="2" t="str">
        <f t="shared" si="151"/>
        <v>1. FSV Mainz 05</v>
      </c>
      <c r="W187" s="2">
        <f t="shared" si="149"/>
        <v>13</v>
      </c>
      <c r="Y187" s="19">
        <f>RANK(AI187,$AI$185:$AI$202,0)+COUNTIF($AI$184:AI186,AI187)</f>
        <v>13</v>
      </c>
      <c r="Z187" s="19" t="str">
        <f t="shared" si="150"/>
        <v>1. FSV Mainz 05</v>
      </c>
      <c r="AA187" s="19">
        <f>COUNTIFS(F4:F100,Z187,G4:G100,"&gt;=0")+COUNTIFS(I4:I100,Z187,H4:H100,"&gt;=0")</f>
        <v>9</v>
      </c>
      <c r="AB187" s="19">
        <f>COUNTIFS(F4:F100,Z187,B4:B100,3)+COUNTIFS(I4:I100,Z187,M4:M100,3)</f>
        <v>3</v>
      </c>
      <c r="AC187" s="19">
        <f>COUNTIFS(F4:F100,Z187,B4:B100,1)+COUNTIFS(I4:I100,Z187,M4:M100,1)</f>
        <v>0</v>
      </c>
      <c r="AD187" s="19">
        <f>COUNTIFS(F4:F100,Z187,B4:B100,0)+COUNTIFS(I4:I100,Z187,M4:M100,0)</f>
        <v>6</v>
      </c>
      <c r="AE187" s="19">
        <f>SUMIF(F4:F100,Z187,G4:G100)+SUMIF(I4:I100,Z187,H4:H100)</f>
        <v>10</v>
      </c>
      <c r="AF187" s="19">
        <f>SUMIF(F4:F100,Z187,H4:H100)+SUMIF(I4:I100,Z187,G4:G100)</f>
        <v>19</v>
      </c>
      <c r="AG187" s="19">
        <f>+AE187-AF187</f>
        <v>-9</v>
      </c>
      <c r="AH187" s="19">
        <f>(AB187*3)+AC187</f>
        <v>9</v>
      </c>
      <c r="AI187" s="19">
        <f t="shared" si="152"/>
        <v>8999.92</v>
      </c>
      <c r="AJ187" s="2"/>
      <c r="AW187" s="7"/>
    </row>
    <row r="188" spans="1:49" x14ac:dyDescent="0.25">
      <c r="A188" s="1"/>
      <c r="B188" s="2">
        <f t="shared" si="109"/>
        <v>3</v>
      </c>
      <c r="D188" s="61">
        <f t="shared" si="145"/>
        <v>18</v>
      </c>
      <c r="F188" s="9" t="s">
        <v>148</v>
      </c>
      <c r="G188" s="10">
        <v>2</v>
      </c>
      <c r="H188" s="10">
        <v>1</v>
      </c>
      <c r="I188" s="9" t="s">
        <v>84</v>
      </c>
      <c r="J188" s="6"/>
      <c r="K188" s="61">
        <f t="shared" si="146"/>
        <v>12</v>
      </c>
      <c r="M188" s="2">
        <f t="shared" si="144"/>
        <v>0</v>
      </c>
      <c r="O188" s="2" t="str">
        <f t="shared" si="110"/>
        <v>G</v>
      </c>
      <c r="P188" s="2" t="str">
        <f t="shared" si="111"/>
        <v>P</v>
      </c>
      <c r="S188" s="2" t="str">
        <f t="shared" si="147"/>
        <v>SC Paderborn 07Eintracht Frankfurt</v>
      </c>
      <c r="T188" s="2" t="str">
        <f t="shared" si="148"/>
        <v>2-1</v>
      </c>
      <c r="V188" s="2" t="str">
        <f t="shared" si="151"/>
        <v>1899 Hoffenheim</v>
      </c>
      <c r="W188" s="2">
        <f t="shared" si="149"/>
        <v>10</v>
      </c>
      <c r="Y188" s="19">
        <f>RANK(AI188,$AI$185:$AI$202,0)+COUNTIF($AI$184:AI187,AI188)</f>
        <v>10</v>
      </c>
      <c r="Z188" s="19" t="str">
        <f t="shared" si="150"/>
        <v>1899 Hoffenheim</v>
      </c>
      <c r="AA188" s="19">
        <f>COUNTIFS(F4:F100,Z188,G4:G100,"&gt;=0")+COUNTIFS(I4:I100,Z188,H4:H100,"&gt;=0")</f>
        <v>9</v>
      </c>
      <c r="AB188" s="19">
        <f>COUNTIFS(F4:F100,Z188,B4:B100,3)+COUNTIFS(I4:I100,Z188,M4:M100,3)</f>
        <v>4</v>
      </c>
      <c r="AC188" s="19">
        <f>COUNTIFS(F4:F100,Z188,B4:B100,1)+COUNTIFS(I4:I100,Z188,M4:M100,1)</f>
        <v>2</v>
      </c>
      <c r="AD188" s="19">
        <f>COUNTIFS(F4:F100,Z188,B4:B100,0)+COUNTIFS(I4:I100,Z188,M4:M100,0)</f>
        <v>3</v>
      </c>
      <c r="AE188" s="19">
        <f>SUMIF(F4:F100,Z188,G4:G100)+SUMIF(I4:I100,Z188,H4:H100)</f>
        <v>11</v>
      </c>
      <c r="AF188" s="19">
        <f>SUMIF(F4:F100,Z188,H4:H100)+SUMIF(I4:I100,Z188,G4:G100)</f>
        <v>13</v>
      </c>
      <c r="AG188" s="19">
        <f t="shared" ref="AG188:AG202" si="153">+AE188-AF188</f>
        <v>-2</v>
      </c>
      <c r="AH188" s="19">
        <f>(AB188*3)+AC188</f>
        <v>14</v>
      </c>
      <c r="AI188" s="19">
        <f t="shared" si="152"/>
        <v>13999.991</v>
      </c>
      <c r="AJ188" s="2"/>
      <c r="AW188" s="7"/>
    </row>
    <row r="189" spans="1:49" x14ac:dyDescent="0.25">
      <c r="A189" s="1"/>
      <c r="F189" s="107"/>
      <c r="G189" s="108"/>
      <c r="H189" s="108"/>
      <c r="I189" s="107"/>
      <c r="J189" s="6"/>
      <c r="O189" s="2" t="str">
        <f t="shared" si="110"/>
        <v/>
      </c>
      <c r="P189" s="2" t="str">
        <f t="shared" si="111"/>
        <v/>
      </c>
      <c r="V189" s="2" t="str">
        <f t="shared" si="151"/>
        <v>Bayer Leverkusen</v>
      </c>
      <c r="W189" s="2">
        <f t="shared" si="149"/>
        <v>8</v>
      </c>
      <c r="Y189" s="19">
        <f>RANK(AI189,$AI$185:$AI$202,0)+COUNTIF($AI$184:AI188,AI189)</f>
        <v>8</v>
      </c>
      <c r="Z189" s="19" t="str">
        <f t="shared" si="150"/>
        <v>Bayer Leverkusen</v>
      </c>
      <c r="AA189" s="19">
        <f>COUNTIFS(F4:F100,Z189,G4:G100,"&gt;=0")+COUNTIFS(I4:I100,Z189,H4:H100,"&gt;=0")</f>
        <v>9</v>
      </c>
      <c r="AB189" s="19">
        <f>COUNTIFS(F4:F100,Z189,B4:B100,3)+COUNTIFS(I4:I100,Z189,M4:M100,3)</f>
        <v>4</v>
      </c>
      <c r="AC189" s="19">
        <f>COUNTIFS(F4:F100,Z189,B4:B100,1)+COUNTIFS(I4:I100,Z189,M4:M100,1)</f>
        <v>3</v>
      </c>
      <c r="AD189" s="19">
        <f>COUNTIFS(F4:F100,Z189,B4:B100,0)+COUNTIFS(I4:I100,Z189,M4:M100,0)</f>
        <v>2</v>
      </c>
      <c r="AE189" s="19">
        <f>SUMIF(F4:F100,Z189,G4:G100)+SUMIF(I4:I100,Z189,H4:H100)</f>
        <v>14</v>
      </c>
      <c r="AF189" s="19">
        <f>SUMIF(F4:F100,Z189,H4:H100)+SUMIF(I4:I100,Z189,G4:G100)</f>
        <v>13</v>
      </c>
      <c r="AG189" s="19">
        <f t="shared" si="153"/>
        <v>1</v>
      </c>
      <c r="AH189" s="19">
        <f>(AB189*3)+AC189</f>
        <v>15</v>
      </c>
      <c r="AI189" s="19">
        <f t="shared" si="152"/>
        <v>15000.023999999999</v>
      </c>
      <c r="AJ189" s="2"/>
      <c r="AW189" s="7"/>
    </row>
    <row r="190" spans="1:49" x14ac:dyDescent="0.25">
      <c r="A190" s="1"/>
      <c r="B190" s="2" t="str">
        <f t="shared" si="109"/>
        <v/>
      </c>
      <c r="F190" s="154" t="s">
        <v>57</v>
      </c>
      <c r="G190" s="154"/>
      <c r="H190" s="154"/>
      <c r="I190" s="154"/>
      <c r="J190" s="6"/>
      <c r="M190" s="2" t="str">
        <f t="shared" ref="M190:M199" si="154">IF(H190="","",IF(H190&gt;G190,3,IF(H190=G190,1,0)))</f>
        <v/>
      </c>
      <c r="O190" s="2" t="str">
        <f t="shared" si="110"/>
        <v/>
      </c>
      <c r="P190" s="2" t="str">
        <f t="shared" si="111"/>
        <v/>
      </c>
      <c r="V190" s="2" t="str">
        <f t="shared" si="151"/>
        <v>Bayern München</v>
      </c>
      <c r="W190" s="2">
        <f t="shared" si="149"/>
        <v>2</v>
      </c>
      <c r="Y190" s="19">
        <f>RANK(AI190,$AI$185:$AI$202,0)+COUNTIF($AI$184:AI189,AI190)</f>
        <v>2</v>
      </c>
      <c r="Z190" s="19" t="str">
        <f t="shared" si="150"/>
        <v>Bayern München</v>
      </c>
      <c r="AA190" s="19">
        <f>COUNTIFS(F4:F100,Z190,G4:G100,"&gt;=0")+COUNTIFS(I4:I100,Z190,H4:H100,"&gt;=0")</f>
        <v>9</v>
      </c>
      <c r="AB190" s="19">
        <f>COUNTIFS(F4:F100,Z190,B4:B100,3)+COUNTIFS(I4:I100,Z190,M4:M100,3)</f>
        <v>5</v>
      </c>
      <c r="AC190" s="19">
        <f>COUNTIFS(F4:F100,Z190,B4:B100,1)+COUNTIFS(I4:I100,Z190,M4:M100,1)</f>
        <v>3</v>
      </c>
      <c r="AD190" s="19">
        <f>COUNTIFS(F4:F100,Z190,B4:B100,0)+COUNTIFS(I4:I100,Z190,M4:M100,0)</f>
        <v>1</v>
      </c>
      <c r="AE190" s="19">
        <f>SUMIF(F4:F100,Z190,G4:G100)+SUMIF(I4:I100,Z190,H4:H100)</f>
        <v>24</v>
      </c>
      <c r="AF190" s="19">
        <f>SUMIF(F4:F100,Z190,H4:H100)+SUMIF(I4:I100,Z190,G4:G100)</f>
        <v>11</v>
      </c>
      <c r="AG190" s="19">
        <f t="shared" si="153"/>
        <v>13</v>
      </c>
      <c r="AH190" s="19">
        <f t="shared" ref="AH190:AH202" si="155">(AB190*3)+AC190</f>
        <v>18</v>
      </c>
      <c r="AI190" s="19">
        <f t="shared" si="152"/>
        <v>18000.154000000002</v>
      </c>
      <c r="AJ190" s="2"/>
      <c r="AW190" s="7"/>
    </row>
    <row r="191" spans="1:49" x14ac:dyDescent="0.25">
      <c r="A191" s="1"/>
      <c r="B191" s="2">
        <f t="shared" si="109"/>
        <v>0</v>
      </c>
      <c r="D191" s="61">
        <f t="shared" ref="D191:D199" si="156">IFERROR(VLOOKUP(F191,$V$345:$W$362,2,FALSE),"")</f>
        <v>12</v>
      </c>
      <c r="F191" s="9" t="s">
        <v>88</v>
      </c>
      <c r="G191" s="10">
        <v>0</v>
      </c>
      <c r="H191" s="10">
        <v>4</v>
      </c>
      <c r="I191" s="9" t="s">
        <v>79</v>
      </c>
      <c r="J191" s="6"/>
      <c r="K191" s="61">
        <f t="shared" ref="K191:K199" si="157">IFERROR(VLOOKUP(I191,$V$345:$W$362,2,FALSE),"")</f>
        <v>3</v>
      </c>
      <c r="M191" s="2">
        <f t="shared" si="154"/>
        <v>3</v>
      </c>
      <c r="O191" s="2" t="str">
        <f t="shared" si="110"/>
        <v>P</v>
      </c>
      <c r="P191" s="2" t="str">
        <f t="shared" si="111"/>
        <v>G</v>
      </c>
      <c r="S191" s="2" t="str">
        <f t="shared" ref="S191:S199" si="158">IF(M191&lt;&gt;"",F191&amp;I191,"")</f>
        <v>Hertha BSCBayern München</v>
      </c>
      <c r="T191" s="2" t="str">
        <f t="shared" ref="T191:T199" si="159">IF(S191&lt;&gt;"",G191&amp;"-"&amp;H191,"")</f>
        <v>0-4</v>
      </c>
      <c r="V191" s="2" t="str">
        <f t="shared" si="151"/>
        <v>Bor. Mönchengladbach</v>
      </c>
      <c r="W191" s="2">
        <f t="shared" si="149"/>
        <v>1</v>
      </c>
      <c r="Y191" s="19">
        <f>RANK(AI191,$AI$185:$AI$202,0)+COUNTIF($AI$184:AI190,AI191)</f>
        <v>1</v>
      </c>
      <c r="Z191" s="19" t="str">
        <f t="shared" si="150"/>
        <v>Bor. Mönchengladbach</v>
      </c>
      <c r="AA191" s="19">
        <f>COUNTIFS(F4:F100,Z191,G4:G100,"&gt;=0")+COUNTIFS(I4:I100,Z191,H4:H100,"&gt;=0")</f>
        <v>9</v>
      </c>
      <c r="AB191" s="19">
        <f>COUNTIFS(F4:F100,Z191,B4:B100,3)+COUNTIFS(I4:I100,Z191,M4:M100,3)</f>
        <v>6</v>
      </c>
      <c r="AC191" s="19">
        <f>COUNTIFS(F4:F100,Z191,B4:B100,1)+COUNTIFS(I4:I100,Z191,M4:M100,1)</f>
        <v>1</v>
      </c>
      <c r="AD191" s="19">
        <f>COUNTIFS(F4:F100,Z191,B4:B100,0)+COUNTIFS(I4:I100,Z191,M4:M100,0)</f>
        <v>2</v>
      </c>
      <c r="AE191" s="19">
        <f>SUMIF(F4:F100,Z191,G4:G100)+SUMIF(I4:I100,Z191,H4:H100)</f>
        <v>19</v>
      </c>
      <c r="AF191" s="19">
        <f>SUMIF(F4:F100,Z191,H4:H100)+SUMIF(I4:I100,Z191,G4:G100)</f>
        <v>9</v>
      </c>
      <c r="AG191" s="19">
        <f t="shared" si="153"/>
        <v>10</v>
      </c>
      <c r="AH191" s="19">
        <f t="shared" si="155"/>
        <v>19</v>
      </c>
      <c r="AI191" s="19">
        <f t="shared" si="152"/>
        <v>19000.118999999999</v>
      </c>
      <c r="AJ191" s="2"/>
      <c r="AW191" s="7"/>
    </row>
    <row r="192" spans="1:49" x14ac:dyDescent="0.25">
      <c r="A192" s="1"/>
      <c r="B192" s="2">
        <f t="shared" si="109"/>
        <v>0</v>
      </c>
      <c r="D192" s="61">
        <f t="shared" si="156"/>
        <v>10</v>
      </c>
      <c r="F192" s="9" t="s">
        <v>92</v>
      </c>
      <c r="G192" s="10">
        <v>3</v>
      </c>
      <c r="H192" s="10">
        <v>5</v>
      </c>
      <c r="I192" s="9" t="s">
        <v>80</v>
      </c>
      <c r="J192" s="6"/>
      <c r="K192" s="61">
        <f t="shared" si="157"/>
        <v>4</v>
      </c>
      <c r="M192" s="2">
        <f t="shared" si="154"/>
        <v>3</v>
      </c>
      <c r="O192" s="2" t="str">
        <f t="shared" si="110"/>
        <v>P</v>
      </c>
      <c r="P192" s="2" t="str">
        <f t="shared" si="111"/>
        <v>G</v>
      </c>
      <c r="S192" s="2" t="str">
        <f t="shared" si="158"/>
        <v>FC AugsburgBorussia Dortmund</v>
      </c>
      <c r="T192" s="2" t="str">
        <f t="shared" si="159"/>
        <v>3-5</v>
      </c>
      <c r="V192" s="2" t="str">
        <f t="shared" si="151"/>
        <v>Borussia Dortmund</v>
      </c>
      <c r="W192" s="2">
        <f t="shared" si="149"/>
        <v>5</v>
      </c>
      <c r="Y192" s="19">
        <f>RANK(AI192,$AI$185:$AI$202,0)+COUNTIF($AI$184:AI191,AI192)</f>
        <v>5</v>
      </c>
      <c r="Z192" s="19" t="str">
        <f t="shared" si="150"/>
        <v>Borussia Dortmund</v>
      </c>
      <c r="AA192" s="19">
        <f>COUNTIFS(F4:F100,Z192,G4:G100,"&gt;=0")+COUNTIFS(I4:I100,Z192,H4:H100,"&gt;=0")</f>
        <v>9</v>
      </c>
      <c r="AB192" s="19">
        <f>COUNTIFS(F4:F100,Z192,B4:B100,3)+COUNTIFS(I4:I100,Z192,M4:M100,3)</f>
        <v>4</v>
      </c>
      <c r="AC192" s="19">
        <f>COUNTIFS(F4:F100,Z192,B4:B100,1)+COUNTIFS(I4:I100,Z192,M4:M100,1)</f>
        <v>4</v>
      </c>
      <c r="AD192" s="19">
        <f>COUNTIFS(F4:F100,Z192,B4:B100,0)+COUNTIFS(I4:I100,Z192,M4:M100,0)</f>
        <v>1</v>
      </c>
      <c r="AE192" s="19">
        <f>SUMIF(F4:F100,Z192,G4:G100)+SUMIF(I4:I100,Z192,H4:H100)</f>
        <v>20</v>
      </c>
      <c r="AF192" s="19">
        <f>SUMIF(F4:F100,Z192,H4:H100)+SUMIF(I4:I100,Z192,G4:G100)</f>
        <v>11</v>
      </c>
      <c r="AG192" s="19">
        <f t="shared" si="153"/>
        <v>9</v>
      </c>
      <c r="AH192" s="19">
        <f t="shared" si="155"/>
        <v>16</v>
      </c>
      <c r="AI192" s="19">
        <f t="shared" si="152"/>
        <v>16000.11</v>
      </c>
      <c r="AJ192" s="2"/>
      <c r="AW192" s="7"/>
    </row>
    <row r="193" spans="1:49" x14ac:dyDescent="0.25">
      <c r="A193" s="1"/>
      <c r="B193" s="2">
        <f t="shared" si="109"/>
        <v>0</v>
      </c>
      <c r="D193" s="61">
        <f t="shared" si="156"/>
        <v>18</v>
      </c>
      <c r="F193" s="9" t="s">
        <v>148</v>
      </c>
      <c r="G193" s="10">
        <v>1</v>
      </c>
      <c r="H193" s="10">
        <v>4</v>
      </c>
      <c r="I193" s="9" t="s">
        <v>83</v>
      </c>
      <c r="J193" s="6"/>
      <c r="K193" s="61">
        <f t="shared" si="157"/>
        <v>6</v>
      </c>
      <c r="M193" s="2">
        <f t="shared" si="154"/>
        <v>3</v>
      </c>
      <c r="O193" s="2" t="str">
        <f t="shared" si="110"/>
        <v>P</v>
      </c>
      <c r="P193" s="2" t="str">
        <f t="shared" si="111"/>
        <v>G</v>
      </c>
      <c r="S193" s="2" t="str">
        <f t="shared" si="158"/>
        <v>SC Paderborn 07Bayer Leverkusen</v>
      </c>
      <c r="T193" s="2" t="str">
        <f t="shared" si="159"/>
        <v>1-4</v>
      </c>
      <c r="V193" s="2" t="str">
        <f t="shared" si="151"/>
        <v>Eintracht Frankfurt</v>
      </c>
      <c r="W193" s="2">
        <f t="shared" si="149"/>
        <v>9</v>
      </c>
      <c r="Y193" s="19">
        <f>RANK(AI193,$AI$185:$AI$202,0)+COUNTIF($AI$184:AI192,AI193)</f>
        <v>9</v>
      </c>
      <c r="Z193" s="19" t="str">
        <f t="shared" si="150"/>
        <v>Eintracht Frankfurt</v>
      </c>
      <c r="AA193" s="19">
        <f>COUNTIFS(F4:F100,Z193,G4:G100,"&gt;=0")+COUNTIFS(I4:I100,Z193,H4:H100,"&gt;=0")</f>
        <v>9</v>
      </c>
      <c r="AB193" s="19">
        <f>COUNTIFS(F4:F100,Z193,B4:B100,3)+COUNTIFS(I4:I100,Z193,M4:M100,3)</f>
        <v>4</v>
      </c>
      <c r="AC193" s="19">
        <f>COUNTIFS(F4:F100,Z193,B4:B100,1)+COUNTIFS(I4:I100,Z193,M4:M100,1)</f>
        <v>2</v>
      </c>
      <c r="AD193" s="19">
        <f>COUNTIFS(F4:F100,Z193,B4:B100,0)+COUNTIFS(I4:I100,Z193,M4:M100,0)</f>
        <v>3</v>
      </c>
      <c r="AE193" s="19">
        <f>SUMIF(F4:F100,Z193,G4:G100)+SUMIF(I4:I100,Z193,H4:H100)</f>
        <v>16</v>
      </c>
      <c r="AF193" s="19">
        <f>SUMIF(F4:F100,Z193,H4:H100)+SUMIF(I4:I100,Z193,G4:G100)</f>
        <v>14</v>
      </c>
      <c r="AG193" s="19">
        <f t="shared" si="153"/>
        <v>2</v>
      </c>
      <c r="AH193" s="19">
        <f t="shared" si="155"/>
        <v>14</v>
      </c>
      <c r="AI193" s="19">
        <f t="shared" si="152"/>
        <v>14000.036</v>
      </c>
      <c r="AJ193" s="2"/>
      <c r="AW193" s="7"/>
    </row>
    <row r="194" spans="1:49" x14ac:dyDescent="0.25">
      <c r="A194" s="1"/>
      <c r="B194" s="2">
        <f t="shared" si="109"/>
        <v>3</v>
      </c>
      <c r="D194" s="61">
        <f t="shared" si="156"/>
        <v>5</v>
      </c>
      <c r="F194" s="9" t="s">
        <v>93</v>
      </c>
      <c r="G194" s="10">
        <v>2</v>
      </c>
      <c r="H194" s="10">
        <v>0</v>
      </c>
      <c r="I194" s="9" t="s">
        <v>82</v>
      </c>
      <c r="J194" s="6"/>
      <c r="K194" s="61">
        <f t="shared" si="157"/>
        <v>2</v>
      </c>
      <c r="M194" s="2">
        <f t="shared" si="154"/>
        <v>0</v>
      </c>
      <c r="O194" s="2" t="str">
        <f t="shared" si="110"/>
        <v>G</v>
      </c>
      <c r="P194" s="2" t="str">
        <f t="shared" si="111"/>
        <v>P</v>
      </c>
      <c r="S194" s="2" t="str">
        <f t="shared" si="158"/>
        <v>FC Schalke 04Bor. Mönchengladbach</v>
      </c>
      <c r="T194" s="2" t="str">
        <f t="shared" si="159"/>
        <v>2-0</v>
      </c>
      <c r="V194" s="2" t="str">
        <f t="shared" si="151"/>
        <v>FC Augsburg</v>
      </c>
      <c r="W194" s="2">
        <f t="shared" si="149"/>
        <v>17</v>
      </c>
      <c r="Y194" s="19">
        <f>RANK(AI194,$AI$185:$AI$202,0)+COUNTIF($AI$184:AI193,AI194)</f>
        <v>17</v>
      </c>
      <c r="Z194" s="19" t="str">
        <f t="shared" si="150"/>
        <v>FC Augsburg</v>
      </c>
      <c r="AA194" s="19">
        <f>COUNTIFS(F4:F100,Z194,G4:G100,"&gt;=0")+COUNTIFS(I4:I100,Z194,H4:H100,"&gt;=0")</f>
        <v>9</v>
      </c>
      <c r="AB194" s="19">
        <f>COUNTIFS(F4:F100,Z194,B4:B100,3)+COUNTIFS(I4:I100,Z194,M4:M100,3)</f>
        <v>1</v>
      </c>
      <c r="AC194" s="19">
        <f>COUNTIFS(F4:F100,Z194,B4:B100,1)+COUNTIFS(I4:I100,Z194,M4:M100,1)</f>
        <v>4</v>
      </c>
      <c r="AD194" s="19">
        <f>COUNTIFS(F4:F100,Z194,B4:B100,0)+COUNTIFS(I4:I100,Z194,M4:M100,0)</f>
        <v>4</v>
      </c>
      <c r="AE194" s="19">
        <f>SUMIF(F4:F100,Z194,G4:G100)+SUMIF(I4:I100,Z194,H4:H100)</f>
        <v>10</v>
      </c>
      <c r="AF194" s="19">
        <f>SUMIF(F4:F100,Z194,H4:H100)+SUMIF(I4:I100,Z194,G4:G100)</f>
        <v>21</v>
      </c>
      <c r="AG194" s="19">
        <f t="shared" si="153"/>
        <v>-11</v>
      </c>
      <c r="AH194" s="19">
        <f t="shared" si="155"/>
        <v>7</v>
      </c>
      <c r="AI194" s="19">
        <f t="shared" si="152"/>
        <v>6999.9000000000005</v>
      </c>
      <c r="AJ194" s="2"/>
      <c r="AW194" s="7"/>
    </row>
    <row r="195" spans="1:49" x14ac:dyDescent="0.25">
      <c r="A195" s="1"/>
      <c r="B195" s="2">
        <f t="shared" ref="B195:B257" si="160">IF(G195="","",IF(G195&gt;H195,3,IF(G195=H195,1,0)))</f>
        <v>3</v>
      </c>
      <c r="D195" s="61">
        <f t="shared" si="156"/>
        <v>15</v>
      </c>
      <c r="F195" s="9" t="s">
        <v>161</v>
      </c>
      <c r="G195" s="10">
        <v>3</v>
      </c>
      <c r="H195" s="10">
        <v>1</v>
      </c>
      <c r="I195" s="9" t="s">
        <v>85</v>
      </c>
      <c r="J195" s="6"/>
      <c r="K195" s="61">
        <f t="shared" si="157"/>
        <v>9</v>
      </c>
      <c r="M195" s="2">
        <f t="shared" si="154"/>
        <v>0</v>
      </c>
      <c r="O195" s="2" t="str">
        <f t="shared" si="110"/>
        <v>G</v>
      </c>
      <c r="P195" s="2" t="str">
        <f t="shared" si="111"/>
        <v>P</v>
      </c>
      <c r="S195" s="2" t="str">
        <f t="shared" si="158"/>
        <v>1. FC KölnVfL Wolfsburg</v>
      </c>
      <c r="T195" s="2" t="str">
        <f t="shared" si="159"/>
        <v>3-1</v>
      </c>
      <c r="V195" s="2" t="str">
        <f t="shared" si="151"/>
        <v>FC Schalke 04</v>
      </c>
      <c r="W195" s="2">
        <f t="shared" si="149"/>
        <v>7</v>
      </c>
      <c r="Y195" s="19">
        <f>RANK(AI195,$AI$185:$AI$202,0)+COUNTIF($AI$184:AI194,AI195)</f>
        <v>7</v>
      </c>
      <c r="Z195" s="19" t="str">
        <f t="shared" si="150"/>
        <v>FC Schalke 04</v>
      </c>
      <c r="AA195" s="19">
        <f>COUNTIFS(F4:F100,Z195,G4:G100,"&gt;=0")+COUNTIFS(I4:I100,Z195,H4:H100,"&gt;=0")</f>
        <v>9</v>
      </c>
      <c r="AB195" s="19">
        <f>COUNTIFS(F4:F100,Z195,B4:B100,3)+COUNTIFS(I4:I100,Z195,M4:M100,3)</f>
        <v>4</v>
      </c>
      <c r="AC195" s="19">
        <f>COUNTIFS(F4:F100,Z195,B4:B100,1)+COUNTIFS(I4:I100,Z195,M4:M100,1)</f>
        <v>3</v>
      </c>
      <c r="AD195" s="19">
        <f>COUNTIFS(F4:F100,Z195,B4:B100,0)+COUNTIFS(I4:I100,Z195,M4:M100,0)</f>
        <v>2</v>
      </c>
      <c r="AE195" s="19">
        <f>SUMIF(F4:F100,Z195,G4:G100)+SUMIF(I4:I100,Z195,H4:H100)</f>
        <v>14</v>
      </c>
      <c r="AF195" s="19">
        <f>SUMIF(F4:F100,Z195,H4:H100)+SUMIF(I4:I100,Z195,G4:G100)</f>
        <v>9</v>
      </c>
      <c r="AG195" s="19">
        <f t="shared" si="153"/>
        <v>5</v>
      </c>
      <c r="AH195" s="19">
        <f t="shared" si="155"/>
        <v>15</v>
      </c>
      <c r="AI195" s="19">
        <f t="shared" si="152"/>
        <v>15000.063999999998</v>
      </c>
      <c r="AJ195" s="2"/>
      <c r="AW195" s="7"/>
    </row>
    <row r="196" spans="1:49" x14ac:dyDescent="0.25">
      <c r="A196" s="1"/>
      <c r="B196" s="2">
        <f t="shared" si="160"/>
        <v>0</v>
      </c>
      <c r="D196" s="61">
        <f t="shared" si="156"/>
        <v>7</v>
      </c>
      <c r="F196" s="9" t="s">
        <v>86</v>
      </c>
      <c r="G196" s="10">
        <v>1</v>
      </c>
      <c r="H196" s="10">
        <v>2</v>
      </c>
      <c r="I196" s="9" t="s">
        <v>84</v>
      </c>
      <c r="J196" s="6"/>
      <c r="K196" s="61">
        <f t="shared" si="157"/>
        <v>13</v>
      </c>
      <c r="M196" s="2">
        <f t="shared" si="154"/>
        <v>3</v>
      </c>
      <c r="O196" s="2" t="str">
        <f t="shared" si="110"/>
        <v>P</v>
      </c>
      <c r="P196" s="2" t="str">
        <f t="shared" si="111"/>
        <v>G</v>
      </c>
      <c r="S196" s="2" t="str">
        <f t="shared" si="158"/>
        <v>1899 HoffenheimEintracht Frankfurt</v>
      </c>
      <c r="T196" s="2" t="str">
        <f t="shared" si="159"/>
        <v>1-2</v>
      </c>
      <c r="V196" s="2" t="str">
        <f t="shared" si="151"/>
        <v>Fortuna Düsseldorf</v>
      </c>
      <c r="W196" s="2">
        <f t="shared" si="149"/>
        <v>14</v>
      </c>
      <c r="Y196" s="19">
        <f>RANK(AI196,$AI$185:$AI$202,0)+COUNTIF($AI$184:AI195,AI196)</f>
        <v>14</v>
      </c>
      <c r="Z196" s="19" t="str">
        <f t="shared" si="150"/>
        <v>Fortuna Düsseldorf</v>
      </c>
      <c r="AA196" s="19">
        <f>COUNTIFS(F4:F100,Z196,G4:G100,"&gt;=0")+COUNTIFS(I4:I100,Z196,H4:H100,"&gt;=0")</f>
        <v>9</v>
      </c>
      <c r="AB196" s="19">
        <f>COUNTIFS(F4:F100,Z196,B4:B100,3)+COUNTIFS(I4:I100,Z196,M4:M100,3)</f>
        <v>2</v>
      </c>
      <c r="AC196" s="19">
        <f>COUNTIFS(F4:F100,Z196,B4:B100,1)+COUNTIFS(I4:I100,Z196,M4:M100,1)</f>
        <v>1</v>
      </c>
      <c r="AD196" s="19">
        <f>COUNTIFS(F4:F100,Z196,B4:B100,0)+COUNTIFS(I4:I100,Z196,M4:M100,0)</f>
        <v>6</v>
      </c>
      <c r="AE196" s="19">
        <f>SUMIF(F4:F100,Z196,G4:G100)+SUMIF(I4:I100,Z196,H4:H100)</f>
        <v>10</v>
      </c>
      <c r="AF196" s="19">
        <f>SUMIF(F4:F100,Z196,H4:H100)+SUMIF(I4:I100,Z196,G4:G100)</f>
        <v>16</v>
      </c>
      <c r="AG196" s="19">
        <f t="shared" si="153"/>
        <v>-6</v>
      </c>
      <c r="AH196" s="19">
        <f t="shared" si="155"/>
        <v>7</v>
      </c>
      <c r="AI196" s="19">
        <f t="shared" si="152"/>
        <v>6999.95</v>
      </c>
      <c r="AJ196" s="2"/>
      <c r="AW196" s="7"/>
    </row>
    <row r="197" spans="1:49" x14ac:dyDescent="0.25">
      <c r="A197" s="1"/>
      <c r="B197" s="2">
        <f t="shared" si="160"/>
        <v>0</v>
      </c>
      <c r="D197" s="61">
        <f t="shared" si="156"/>
        <v>16</v>
      </c>
      <c r="F197" s="9" t="s">
        <v>89</v>
      </c>
      <c r="G197" s="10">
        <v>0</v>
      </c>
      <c r="H197" s="10">
        <v>1</v>
      </c>
      <c r="I197" s="9" t="s">
        <v>87</v>
      </c>
      <c r="J197" s="6"/>
      <c r="K197" s="61">
        <f t="shared" si="157"/>
        <v>17</v>
      </c>
      <c r="M197" s="2">
        <f t="shared" si="154"/>
        <v>3</v>
      </c>
      <c r="O197" s="2" t="str">
        <f t="shared" ref="O197:O260" si="161">IF(B197="","",IF(B197=1,"N",IF(B197=0,"P",IF(B197=3,"G"))))</f>
        <v>P</v>
      </c>
      <c r="P197" s="2" t="str">
        <f t="shared" ref="P197:P260" si="162">IF(M197="","",IF(M197=1,"N",IF(M197=0,"P",IF(M197=3,"G"))))</f>
        <v>G</v>
      </c>
      <c r="S197" s="2" t="str">
        <f t="shared" si="158"/>
        <v>Fortuna DüsseldorfWerder Bremen</v>
      </c>
      <c r="T197" s="2" t="str">
        <f t="shared" si="159"/>
        <v>0-1</v>
      </c>
      <c r="V197" s="2" t="str">
        <f t="shared" si="151"/>
        <v>Hertha BSC</v>
      </c>
      <c r="W197" s="2">
        <f t="shared" si="149"/>
        <v>11</v>
      </c>
      <c r="Y197" s="19">
        <f>RANK(AI197,$AI$185:$AI$202,0)+COUNTIF($AI$184:AI196,AI197)</f>
        <v>11</v>
      </c>
      <c r="Z197" s="19" t="str">
        <f t="shared" si="150"/>
        <v>Hertha BSC</v>
      </c>
      <c r="AA197" s="19">
        <f>COUNTIFS(F4:F100,Z197,G4:G100,"&gt;=0")+COUNTIFS(I4:I100,Z197,H4:H100,"&gt;=0")</f>
        <v>9</v>
      </c>
      <c r="AB197" s="19">
        <f>COUNTIFS(F4:F100,Z197,B4:B100,3)+COUNTIFS(I4:I100,Z197,M4:M100,3)</f>
        <v>3</v>
      </c>
      <c r="AC197" s="19">
        <f>COUNTIFS(F4:F100,Z197,B4:B100,1)+COUNTIFS(I4:I100,Z197,M4:M100,1)</f>
        <v>2</v>
      </c>
      <c r="AD197" s="19">
        <f>COUNTIFS(F4:F100,Z197,B4:B100,0)+COUNTIFS(I4:I100,Z197,M4:M100,0)</f>
        <v>4</v>
      </c>
      <c r="AE197" s="19">
        <f>SUMIF(F4:F100,Z197,G4:G100)+SUMIF(I4:I100,Z197,H4:H100)</f>
        <v>15</v>
      </c>
      <c r="AF197" s="19">
        <f>SUMIF(F4:F100,Z197,H4:H100)+SUMIF(I4:I100,Z197,G4:G100)</f>
        <v>16</v>
      </c>
      <c r="AG197" s="19">
        <f t="shared" si="153"/>
        <v>-1</v>
      </c>
      <c r="AH197" s="19">
        <f t="shared" si="155"/>
        <v>11</v>
      </c>
      <c r="AI197" s="19">
        <f t="shared" si="152"/>
        <v>11000.004999999999</v>
      </c>
      <c r="AJ197" s="2"/>
      <c r="AW197" s="7"/>
    </row>
    <row r="198" spans="1:49" x14ac:dyDescent="0.25">
      <c r="A198" s="1"/>
      <c r="B198" s="2">
        <f t="shared" si="160"/>
        <v>0</v>
      </c>
      <c r="D198" s="61">
        <f t="shared" si="156"/>
        <v>14</v>
      </c>
      <c r="F198" s="9" t="s">
        <v>90</v>
      </c>
      <c r="G198" s="10">
        <v>1</v>
      </c>
      <c r="H198" s="10">
        <v>2</v>
      </c>
      <c r="I198" s="9" t="s">
        <v>91</v>
      </c>
      <c r="J198" s="6"/>
      <c r="K198" s="61">
        <f t="shared" si="157"/>
        <v>8</v>
      </c>
      <c r="M198" s="2">
        <f t="shared" si="154"/>
        <v>3</v>
      </c>
      <c r="O198" s="2" t="str">
        <f t="shared" si="161"/>
        <v>P</v>
      </c>
      <c r="P198" s="2" t="str">
        <f t="shared" si="162"/>
        <v>G</v>
      </c>
      <c r="S198" s="2" t="str">
        <f t="shared" si="158"/>
        <v>1. FSV Mainz 05SC Freiburg</v>
      </c>
      <c r="T198" s="2" t="str">
        <f t="shared" si="159"/>
        <v>1-2</v>
      </c>
      <c r="V198" s="2" t="str">
        <f t="shared" si="151"/>
        <v>RB Leipzig</v>
      </c>
      <c r="W198" s="2">
        <f t="shared" si="149"/>
        <v>6</v>
      </c>
      <c r="Y198" s="19">
        <f>RANK(AI198,$AI$185:$AI$202,0)+COUNTIF($AI$184:AI197,AI198)</f>
        <v>6</v>
      </c>
      <c r="Z198" s="19" t="str">
        <f t="shared" si="150"/>
        <v>RB Leipzig</v>
      </c>
      <c r="AA198" s="19">
        <f>COUNTIFS(F4:F100,Z198,G4:G100,"&gt;=0")+COUNTIFS(I4:I100,Z198,H4:H100,"&gt;=0")</f>
        <v>9</v>
      </c>
      <c r="AB198" s="19">
        <f>COUNTIFS(F4:F100,Z198,B4:B100,3)+COUNTIFS(I4:I100,Z198,M4:M100,3)</f>
        <v>4</v>
      </c>
      <c r="AC198" s="19">
        <f>COUNTIFS(F4:F100,Z198,B4:B100,1)+COUNTIFS(I4:I100,Z198,M4:M100,1)</f>
        <v>3</v>
      </c>
      <c r="AD198" s="19">
        <f>COUNTIFS(F4:F100,Z198,B4:B100,0)+COUNTIFS(I4:I100,Z198,M4:M100,0)</f>
        <v>2</v>
      </c>
      <c r="AE198" s="19">
        <f>SUMIF(F4:F100,Z198,G4:G100)+SUMIF(I4:I100,Z198,H4:H100)</f>
        <v>17</v>
      </c>
      <c r="AF198" s="19">
        <f>SUMIF(F4:F100,Z198,H4:H100)+SUMIF(I4:I100,Z198,G4:G100)</f>
        <v>10</v>
      </c>
      <c r="AG198" s="19">
        <f t="shared" si="153"/>
        <v>7</v>
      </c>
      <c r="AH198" s="19">
        <f t="shared" si="155"/>
        <v>15</v>
      </c>
      <c r="AI198" s="19">
        <f t="shared" si="152"/>
        <v>15000.087</v>
      </c>
      <c r="AJ198" s="2"/>
      <c r="AW198" s="7"/>
    </row>
    <row r="199" spans="1:49" x14ac:dyDescent="0.25">
      <c r="A199" s="1"/>
      <c r="B199" s="2">
        <f t="shared" si="160"/>
        <v>3</v>
      </c>
      <c r="D199" s="61">
        <f t="shared" si="156"/>
        <v>1</v>
      </c>
      <c r="F199" s="9" t="s">
        <v>81</v>
      </c>
      <c r="G199" s="10">
        <v>3</v>
      </c>
      <c r="H199" s="10">
        <v>1</v>
      </c>
      <c r="I199" s="9" t="s">
        <v>162</v>
      </c>
      <c r="J199" s="6"/>
      <c r="K199" s="61">
        <f t="shared" si="157"/>
        <v>11</v>
      </c>
      <c r="M199" s="2">
        <f t="shared" si="154"/>
        <v>0</v>
      </c>
      <c r="O199" s="2" t="str">
        <f t="shared" si="161"/>
        <v>G</v>
      </c>
      <c r="P199" s="2" t="str">
        <f t="shared" si="162"/>
        <v>P</v>
      </c>
      <c r="S199" s="2" t="str">
        <f t="shared" si="158"/>
        <v>RB Leipzig1. FC Union Berlin</v>
      </c>
      <c r="T199" s="2" t="str">
        <f t="shared" si="159"/>
        <v>3-1</v>
      </c>
      <c r="V199" s="2" t="str">
        <f t="shared" si="151"/>
        <v>SC Freiburg</v>
      </c>
      <c r="W199" s="2">
        <f t="shared" si="149"/>
        <v>3</v>
      </c>
      <c r="Y199" s="19">
        <f>RANK(AI199,$AI$185:$AI$202,0)+COUNTIF($AI$184:AI198,AI199)</f>
        <v>3</v>
      </c>
      <c r="Z199" s="19" t="str">
        <f t="shared" si="150"/>
        <v>SC Freiburg</v>
      </c>
      <c r="AA199" s="19">
        <f>COUNTIFS(F4:F100,Z199,G4:G100,"&gt;=0")+COUNTIFS(I4:I100,Z199,H4:H100,"&gt;=0")</f>
        <v>9</v>
      </c>
      <c r="AB199" s="19">
        <f>COUNTIFS(F4:F100,Z199,B4:B100,3)+COUNTIFS(I4:I100,Z199,M4:M100,3)</f>
        <v>5</v>
      </c>
      <c r="AC199" s="19">
        <f>COUNTIFS(F4:F100,Z199,B4:B100,1)+COUNTIFS(I4:I100,Z199,M4:M100,1)</f>
        <v>2</v>
      </c>
      <c r="AD199" s="19">
        <f>COUNTIFS(F4:F100,Z199,B4:B100,0)+COUNTIFS(I4:I100,Z199,M4:M100,0)</f>
        <v>2</v>
      </c>
      <c r="AE199" s="19">
        <f>SUMIF(F4:F100,Z199,G4:G100)+SUMIF(I4:I100,Z199,H4:H100)</f>
        <v>17</v>
      </c>
      <c r="AF199" s="19">
        <f>SUMIF(F4:F100,Z199,H4:H100)+SUMIF(I4:I100,Z199,G4:G100)</f>
        <v>10</v>
      </c>
      <c r="AG199" s="19">
        <f t="shared" si="153"/>
        <v>7</v>
      </c>
      <c r="AH199" s="19">
        <f t="shared" si="155"/>
        <v>17</v>
      </c>
      <c r="AI199" s="19">
        <f t="shared" si="152"/>
        <v>17000.087</v>
      </c>
      <c r="AJ199" s="2"/>
      <c r="AW199" s="7"/>
    </row>
    <row r="200" spans="1:49" x14ac:dyDescent="0.25">
      <c r="A200" s="1"/>
      <c r="F200" s="107"/>
      <c r="G200" s="108"/>
      <c r="H200" s="108"/>
      <c r="I200" s="107"/>
      <c r="J200" s="6"/>
      <c r="O200" s="2" t="str">
        <f t="shared" si="161"/>
        <v/>
      </c>
      <c r="P200" s="2" t="str">
        <f t="shared" si="162"/>
        <v/>
      </c>
      <c r="V200" s="2" t="str">
        <f t="shared" si="151"/>
        <v>SC Paderborn 07</v>
      </c>
      <c r="W200" s="2">
        <f t="shared" si="149"/>
        <v>18</v>
      </c>
      <c r="Y200" s="19">
        <f>RANK(AI200,$AI$185:$AI$202,0)+COUNTIF($AI$184:AI199,AI200)</f>
        <v>18</v>
      </c>
      <c r="Z200" s="19" t="str">
        <f t="shared" si="150"/>
        <v>SC Paderborn 07</v>
      </c>
      <c r="AA200" s="19">
        <f>COUNTIFS(F4:F100,Z200,G4:G100,"&gt;=0")+COUNTIFS(I4:I100,Z200,H4:H100,"&gt;=0")</f>
        <v>9</v>
      </c>
      <c r="AB200" s="19">
        <f>COUNTIFS(F4:F100,Z200,B4:B100,3)+COUNTIFS(I4:I100,Z200,M4:M100,3)</f>
        <v>1</v>
      </c>
      <c r="AC200" s="19">
        <f>COUNTIFS(F4:F100,Z200,B4:B100,1)+COUNTIFS(I4:I100,Z200,M4:M100,1)</f>
        <v>1</v>
      </c>
      <c r="AD200" s="19">
        <f>COUNTIFS(F4:F100,Z200,B4:B100,0)+COUNTIFS(I4:I100,Z200,M4:M100,0)</f>
        <v>7</v>
      </c>
      <c r="AE200" s="19">
        <f>SUMIF(F4:F100,Z200,G4:G100)+SUMIF(I4:I100,Z200,H4:H100)</f>
        <v>11</v>
      </c>
      <c r="AF200" s="19">
        <f>SUMIF(F4:F100,Z200,H4:H100)+SUMIF(I4:I100,Z200,G4:G100)</f>
        <v>22</v>
      </c>
      <c r="AG200" s="19">
        <f t="shared" si="153"/>
        <v>-11</v>
      </c>
      <c r="AH200" s="19">
        <f t="shared" si="155"/>
        <v>4</v>
      </c>
      <c r="AI200" s="19">
        <f t="shared" si="152"/>
        <v>3999.9009999999998</v>
      </c>
      <c r="AJ200" s="2"/>
      <c r="AW200" s="7"/>
    </row>
    <row r="201" spans="1:49" x14ac:dyDescent="0.25">
      <c r="A201" s="1"/>
      <c r="B201" s="2" t="str">
        <f t="shared" si="160"/>
        <v/>
      </c>
      <c r="F201" s="154" t="s">
        <v>58</v>
      </c>
      <c r="G201" s="154"/>
      <c r="H201" s="154"/>
      <c r="I201" s="154"/>
      <c r="J201" s="6"/>
      <c r="M201" s="2" t="str">
        <f t="shared" ref="M201:M210" si="163">IF(H201="","",IF(H201&gt;G201,3,IF(H201=G201,1,0)))</f>
        <v/>
      </c>
      <c r="O201" s="2" t="str">
        <f t="shared" si="161"/>
        <v/>
      </c>
      <c r="P201" s="2" t="str">
        <f t="shared" si="162"/>
        <v/>
      </c>
      <c r="V201" s="2" t="str">
        <f t="shared" si="151"/>
        <v>VfL Wolfsburg</v>
      </c>
      <c r="W201" s="2">
        <f t="shared" si="149"/>
        <v>4</v>
      </c>
      <c r="Y201" s="19">
        <f>RANK(AI201,$AI$185:$AI$202,0)+COUNTIF($AI$184:AI200,AI201)</f>
        <v>4</v>
      </c>
      <c r="Z201" s="19" t="str">
        <f t="shared" si="150"/>
        <v>VfL Wolfsburg</v>
      </c>
      <c r="AA201" s="19">
        <f>COUNTIFS(F4:F100,Z201,G4:G100,"&gt;=0")+COUNTIFS(I4:I100,Z201,H4:H100,"&gt;=0")</f>
        <v>9</v>
      </c>
      <c r="AB201" s="19">
        <f>COUNTIFS(F4:F100,Z201,B4:B100,3)+COUNTIFS(I4:I100,Z201,M4:M100,3)</f>
        <v>4</v>
      </c>
      <c r="AC201" s="19">
        <f>COUNTIFS(F4:F100,Z201,B4:B100,1)+COUNTIFS(I4:I100,Z201,M4:M100,1)</f>
        <v>5</v>
      </c>
      <c r="AD201" s="19">
        <f>COUNTIFS(F4:F100,Z201,B4:B100,0)+COUNTIFS(I4:I100,Z201,M4:M100,0)</f>
        <v>0</v>
      </c>
      <c r="AE201" s="19">
        <f>SUMIF(F4:F100,Z201,G4:G100)+SUMIF(I4:I100,Z201,H4:H100)</f>
        <v>11</v>
      </c>
      <c r="AF201" s="19">
        <f>SUMIF(F4:F100,Z201,H4:H100)+SUMIF(I4:I100,Z201,G4:G100)</f>
        <v>5</v>
      </c>
      <c r="AG201" s="19">
        <f t="shared" si="153"/>
        <v>6</v>
      </c>
      <c r="AH201" s="19">
        <f t="shared" si="155"/>
        <v>17</v>
      </c>
      <c r="AI201" s="19">
        <f t="shared" si="152"/>
        <v>17000.071</v>
      </c>
      <c r="AW201" s="7"/>
    </row>
    <row r="202" spans="1:49" x14ac:dyDescent="0.25">
      <c r="A202" s="1"/>
      <c r="B202" s="2">
        <f t="shared" si="160"/>
        <v>3</v>
      </c>
      <c r="D202" s="61">
        <f t="shared" ref="D202:D210" si="164">IFERROR(VLOOKUP(F202,$V$365:$W$382,2,FALSE),"")</f>
        <v>11</v>
      </c>
      <c r="F202" s="9" t="s">
        <v>84</v>
      </c>
      <c r="G202" s="10">
        <v>2</v>
      </c>
      <c r="H202" s="10">
        <v>0</v>
      </c>
      <c r="I202" s="9" t="s">
        <v>81</v>
      </c>
      <c r="J202" s="6"/>
      <c r="K202" s="61">
        <f t="shared" ref="K202:K210" si="165">IFERROR(VLOOKUP(I202,$V$365:$W$382,2,FALSE),"")</f>
        <v>1</v>
      </c>
      <c r="M202" s="2">
        <f t="shared" si="163"/>
        <v>0</v>
      </c>
      <c r="O202" s="2" t="str">
        <f t="shared" si="161"/>
        <v>G</v>
      </c>
      <c r="P202" s="2" t="str">
        <f t="shared" si="162"/>
        <v>P</v>
      </c>
      <c r="S202" s="2" t="str">
        <f t="shared" ref="S202:S210" si="166">IF(M202&lt;&gt;"",F202&amp;I202,"")</f>
        <v>Eintracht FrankfurtRB Leipzig</v>
      </c>
      <c r="T202" s="2" t="str">
        <f t="shared" ref="T202:T210" si="167">IF(S202&lt;&gt;"",G202&amp;"-"&amp;H202,"")</f>
        <v>2-0</v>
      </c>
      <c r="V202" s="2" t="str">
        <f t="shared" si="151"/>
        <v>Werder Bremen</v>
      </c>
      <c r="W202" s="2">
        <f t="shared" si="149"/>
        <v>12</v>
      </c>
      <c r="Y202" s="19">
        <f>RANK(AI202,$AI$185:$AI$202,0)+COUNTIF($AI$184:AI201,AI202)</f>
        <v>12</v>
      </c>
      <c r="Z202" s="19" t="str">
        <f t="shared" si="150"/>
        <v>Werder Bremen</v>
      </c>
      <c r="AA202" s="19">
        <f>COUNTIFS(F4:F100,Z202,G4:G100,"&gt;=0")+COUNTIFS(I4:I100,Z202,H4:H100,"&gt;=0")</f>
        <v>9</v>
      </c>
      <c r="AB202" s="19">
        <f>COUNTIFS(F4:F100,Z202,B4:B100,3)+COUNTIFS(I4:I100,Z202,M4:M100,3)</f>
        <v>2</v>
      </c>
      <c r="AC202" s="19">
        <f>COUNTIFS(F4:F100,Z202,B4:B100,1)+COUNTIFS(I4:I100,Z202,M4:M100,1)</f>
        <v>4</v>
      </c>
      <c r="AD202" s="19">
        <f>COUNTIFS(F4:F100,Z202,B4:B100,0)+COUNTIFS(I4:I100,Z202,M4:M100,0)</f>
        <v>3</v>
      </c>
      <c r="AE202" s="19">
        <f>SUMIF(F4:F100,Z202,G4:G100)+SUMIF(I4:I100,Z202,H4:H100)</f>
        <v>15</v>
      </c>
      <c r="AF202" s="19">
        <f>SUMIF(F4:F100,Z202,H4:H100)+SUMIF(I4:I100,Z202,G4:G100)</f>
        <v>19</v>
      </c>
      <c r="AG202" s="19">
        <f t="shared" si="153"/>
        <v>-4</v>
      </c>
      <c r="AH202" s="19">
        <f t="shared" si="155"/>
        <v>10</v>
      </c>
      <c r="AI202" s="19">
        <f t="shared" si="152"/>
        <v>9999.9749999999985</v>
      </c>
      <c r="AJ202" s="2"/>
      <c r="AW202" s="7"/>
    </row>
    <row r="203" spans="1:49" x14ac:dyDescent="0.25">
      <c r="A203" s="1"/>
      <c r="B203" s="2">
        <f t="shared" si="160"/>
        <v>0</v>
      </c>
      <c r="D203" s="61">
        <f t="shared" si="164"/>
        <v>16</v>
      </c>
      <c r="F203" s="9" t="s">
        <v>87</v>
      </c>
      <c r="G203" s="10">
        <v>0</v>
      </c>
      <c r="H203" s="10">
        <v>3</v>
      </c>
      <c r="I203" s="9" t="s">
        <v>86</v>
      </c>
      <c r="J203" s="6"/>
      <c r="K203" s="61">
        <f t="shared" si="165"/>
        <v>8</v>
      </c>
      <c r="M203" s="2">
        <f t="shared" si="163"/>
        <v>3</v>
      </c>
      <c r="O203" s="2" t="str">
        <f t="shared" si="161"/>
        <v>P</v>
      </c>
      <c r="P203" s="2" t="str">
        <f t="shared" si="162"/>
        <v>G</v>
      </c>
      <c r="S203" s="2" t="str">
        <f t="shared" si="166"/>
        <v>Werder Bremen1899 Hoffenheim</v>
      </c>
      <c r="T203" s="2" t="str">
        <f t="shared" si="167"/>
        <v>0-3</v>
      </c>
      <c r="AJ203" s="2"/>
      <c r="AW203" s="7"/>
    </row>
    <row r="204" spans="1:49" x14ac:dyDescent="0.25">
      <c r="A204" s="1"/>
      <c r="B204" s="2">
        <f t="shared" si="160"/>
        <v>3</v>
      </c>
      <c r="D204" s="61">
        <f t="shared" si="164"/>
        <v>6</v>
      </c>
      <c r="F204" s="9" t="s">
        <v>83</v>
      </c>
      <c r="G204" s="10">
        <v>3</v>
      </c>
      <c r="H204" s="10">
        <v>0</v>
      </c>
      <c r="I204" s="9" t="s">
        <v>89</v>
      </c>
      <c r="J204" s="6"/>
      <c r="K204" s="61">
        <f t="shared" si="165"/>
        <v>17</v>
      </c>
      <c r="M204" s="2">
        <f t="shared" si="163"/>
        <v>0</v>
      </c>
      <c r="O204" s="2" t="str">
        <f t="shared" si="161"/>
        <v>G</v>
      </c>
      <c r="P204" s="2" t="str">
        <f t="shared" si="162"/>
        <v>P</v>
      </c>
      <c r="S204" s="2" t="str">
        <f t="shared" si="166"/>
        <v>Bayer LeverkusenFortuna Düsseldorf</v>
      </c>
      <c r="T204" s="2" t="str">
        <f t="shared" si="167"/>
        <v>3-0</v>
      </c>
      <c r="W204" s="18">
        <v>10</v>
      </c>
      <c r="Y204" s="19"/>
      <c r="Z204" s="19" t="s">
        <v>1</v>
      </c>
      <c r="AA204" s="19" t="s">
        <v>2</v>
      </c>
      <c r="AB204" s="19" t="s">
        <v>3</v>
      </c>
      <c r="AC204" s="19" t="s">
        <v>4</v>
      </c>
      <c r="AD204" s="19" t="s">
        <v>5</v>
      </c>
      <c r="AE204" s="19" t="s">
        <v>6</v>
      </c>
      <c r="AF204" s="19" t="s">
        <v>7</v>
      </c>
      <c r="AG204" s="19" t="s">
        <v>8</v>
      </c>
      <c r="AH204" s="19" t="s">
        <v>9</v>
      </c>
      <c r="AI204" s="19" t="s">
        <v>0</v>
      </c>
      <c r="AJ204" s="2"/>
      <c r="AW204" s="7"/>
    </row>
    <row r="205" spans="1:49" x14ac:dyDescent="0.25">
      <c r="A205" s="1"/>
      <c r="B205" s="2">
        <f t="shared" si="160"/>
        <v>0</v>
      </c>
      <c r="D205" s="61">
        <f t="shared" si="164"/>
        <v>9</v>
      </c>
      <c r="F205" s="9" t="s">
        <v>85</v>
      </c>
      <c r="G205" s="10">
        <v>1</v>
      </c>
      <c r="H205" s="10">
        <v>2</v>
      </c>
      <c r="I205" s="9" t="s">
        <v>88</v>
      </c>
      <c r="J205" s="6"/>
      <c r="K205" s="61">
        <f t="shared" si="165"/>
        <v>14</v>
      </c>
      <c r="M205" s="2">
        <f t="shared" si="163"/>
        <v>3</v>
      </c>
      <c r="O205" s="2" t="str">
        <f t="shared" si="161"/>
        <v>P</v>
      </c>
      <c r="P205" s="2" t="str">
        <f t="shared" si="162"/>
        <v>G</v>
      </c>
      <c r="S205" s="2" t="str">
        <f t="shared" si="166"/>
        <v>VfL WolfsburgHertha BSC</v>
      </c>
      <c r="T205" s="2" t="str">
        <f t="shared" si="167"/>
        <v>1-2</v>
      </c>
      <c r="V205" s="2" t="str">
        <f>CONCATENATE(Z205)</f>
        <v>1. FC Köln</v>
      </c>
      <c r="W205" s="2">
        <f t="shared" ref="W205:W222" si="168">Y205</f>
        <v>17</v>
      </c>
      <c r="Y205" s="19">
        <f>RANK(AI205,$AI$205:$AI$222,0)+COUNTIF($AI$204:AI204,AI205)</f>
        <v>17</v>
      </c>
      <c r="Z205" s="19" t="str">
        <f t="shared" ref="Z205:Z222" si="169">CONCATENATE(Z5)</f>
        <v>1. FC Köln</v>
      </c>
      <c r="AA205" s="19">
        <f>COUNTIFS(F4:F111,Z205,G4:G111,"&gt;=0")+COUNTIFS(I4:I111,Z205,H4:H111,"&gt;=0")</f>
        <v>10</v>
      </c>
      <c r="AB205" s="19">
        <f>COUNTIFS(F4:F111,Z205,B4:B111,3)+COUNTIFS(I4:I111,Z205,M4:M111,3)</f>
        <v>2</v>
      </c>
      <c r="AC205" s="19">
        <f>COUNTIFS(F4:F111,Z205,B4:B111,1)+COUNTIFS(I4:I111,Z205,M4:M111,1)</f>
        <v>1</v>
      </c>
      <c r="AD205" s="19">
        <f>COUNTIFS(F4:F111,Z205,B4:B111,0)+COUNTIFS(I4:I111,Z205,M4:M111,0)</f>
        <v>7</v>
      </c>
      <c r="AE205" s="19">
        <f>SUMIF(F4:F111,Z205,G4:G111)+SUMIF(I4:I111,Z205,H4:H111)</f>
        <v>9</v>
      </c>
      <c r="AF205" s="19">
        <f>SUMIF(F4:F111,Z205,H4:H111)+SUMIF(I4:I111,Z205,G4:G111)</f>
        <v>21</v>
      </c>
      <c r="AG205" s="19">
        <f>+AE205-AF205</f>
        <v>-12</v>
      </c>
      <c r="AH205" s="19">
        <f>(AB205*3)+AC205</f>
        <v>7</v>
      </c>
      <c r="AI205" s="19">
        <f>SUM(AH205*1000+(AG205)/100+(AE205)/1000)</f>
        <v>6999.8890000000001</v>
      </c>
      <c r="AJ205" s="2"/>
      <c r="AW205" s="7"/>
    </row>
    <row r="206" spans="1:49" x14ac:dyDescent="0.25">
      <c r="A206" s="1"/>
      <c r="B206" s="2">
        <f t="shared" si="160"/>
        <v>3</v>
      </c>
      <c r="D206" s="61">
        <f t="shared" si="164"/>
        <v>3</v>
      </c>
      <c r="F206" s="9" t="s">
        <v>82</v>
      </c>
      <c r="G206" s="10">
        <v>3</v>
      </c>
      <c r="H206" s="10">
        <v>1</v>
      </c>
      <c r="I206" s="9" t="s">
        <v>90</v>
      </c>
      <c r="J206" s="6"/>
      <c r="K206" s="61">
        <f t="shared" si="165"/>
        <v>15</v>
      </c>
      <c r="M206" s="2">
        <f t="shared" si="163"/>
        <v>0</v>
      </c>
      <c r="O206" s="2" t="str">
        <f t="shared" si="161"/>
        <v>G</v>
      </c>
      <c r="P206" s="2" t="str">
        <f t="shared" si="162"/>
        <v>P</v>
      </c>
      <c r="S206" s="2" t="str">
        <f t="shared" si="166"/>
        <v>Bor. Mönchengladbach1. FSV Mainz 05</v>
      </c>
      <c r="T206" s="2" t="str">
        <f t="shared" si="167"/>
        <v>3-1</v>
      </c>
      <c r="V206" s="2" t="str">
        <f t="shared" ref="V206:V222" si="170">CONCATENATE(Z206)</f>
        <v>1. FC Union Berlin</v>
      </c>
      <c r="W206" s="2">
        <f t="shared" si="168"/>
        <v>14</v>
      </c>
      <c r="Y206" s="19">
        <f>RANK(AI206,$AI$205:$AI$222,0)+COUNTIF($AI$204:AI205,AI206)</f>
        <v>14</v>
      </c>
      <c r="Z206" s="19" t="str">
        <f t="shared" si="169"/>
        <v>1. FC Union Berlin</v>
      </c>
      <c r="AA206" s="19">
        <f>COUNTIFS(F4:F111,Z206,G4:G111,"&gt;=0")+COUNTIFS(I4:I111,Z206,H4:H111,"&gt;=0")</f>
        <v>10</v>
      </c>
      <c r="AB206" s="19">
        <f>COUNTIFS(F4:F111,Z206,B4:B111,3)+COUNTIFS(I4:I111,Z206,M4:M111,3)</f>
        <v>3</v>
      </c>
      <c r="AC206" s="19">
        <f>COUNTIFS(F4:F111,Z206,B4:B111,1)+COUNTIFS(I4:I111,Z206,M4:M111,1)</f>
        <v>1</v>
      </c>
      <c r="AD206" s="19">
        <f>COUNTIFS(F4:F111,Z206,B4:B111,0)+COUNTIFS(I4:I111,Z206,M4:M111,0)</f>
        <v>6</v>
      </c>
      <c r="AE206" s="19">
        <f>SUMIF(F4:F111,Z206,G4:G111)+SUMIF(I4:I111,Z206,H4:H111)</f>
        <v>10</v>
      </c>
      <c r="AF206" s="19">
        <f>SUMIF(F4:F111,Z206,H4:H111)+SUMIF(I4:I111,Z206,G4:G111)</f>
        <v>15</v>
      </c>
      <c r="AG206" s="19">
        <f>+AE206-AF206</f>
        <v>-5</v>
      </c>
      <c r="AH206" s="19">
        <f>(AB206*3)+AC206</f>
        <v>10</v>
      </c>
      <c r="AI206" s="19">
        <f t="shared" ref="AI206:AI222" si="171">SUM(AH206*1000+(AG206)/100+(AE206)/1000)</f>
        <v>9999.9600000000009</v>
      </c>
      <c r="AJ206" s="2"/>
      <c r="AW206" s="7"/>
    </row>
    <row r="207" spans="1:49" x14ac:dyDescent="0.25">
      <c r="A207" s="1"/>
      <c r="B207" s="2">
        <f t="shared" si="160"/>
        <v>3</v>
      </c>
      <c r="D207" s="61">
        <f t="shared" si="164"/>
        <v>2</v>
      </c>
      <c r="F207" s="9" t="s">
        <v>79</v>
      </c>
      <c r="G207" s="10">
        <v>5</v>
      </c>
      <c r="H207" s="10">
        <v>0</v>
      </c>
      <c r="I207" s="9" t="s">
        <v>93</v>
      </c>
      <c r="J207" s="6"/>
      <c r="K207" s="61">
        <f t="shared" si="165"/>
        <v>5</v>
      </c>
      <c r="M207" s="2">
        <f t="shared" si="163"/>
        <v>0</v>
      </c>
      <c r="O207" s="2" t="str">
        <f t="shared" si="161"/>
        <v>G</v>
      </c>
      <c r="P207" s="2" t="str">
        <f t="shared" si="162"/>
        <v>P</v>
      </c>
      <c r="S207" s="2" t="str">
        <f t="shared" si="166"/>
        <v>Bayern MünchenFC Schalke 04</v>
      </c>
      <c r="T207" s="2" t="str">
        <f t="shared" si="167"/>
        <v>5-0</v>
      </c>
      <c r="V207" s="2" t="str">
        <f t="shared" si="170"/>
        <v>1. FSV Mainz 05</v>
      </c>
      <c r="W207" s="2">
        <f t="shared" si="168"/>
        <v>15</v>
      </c>
      <c r="Y207" s="19">
        <f>RANK(AI207,$AI$205:$AI$222,0)+COUNTIF($AI$204:AI206,AI207)</f>
        <v>15</v>
      </c>
      <c r="Z207" s="19" t="str">
        <f t="shared" si="169"/>
        <v>1. FSV Mainz 05</v>
      </c>
      <c r="AA207" s="19">
        <f>COUNTIFS(F4:F111,Z207,G4:G111,"&gt;=0")+COUNTIFS(I4:I111,Z207,H4:H111,"&gt;=0")</f>
        <v>10</v>
      </c>
      <c r="AB207" s="19">
        <f>COUNTIFS(F4:F111,Z207,B4:B111,3)+COUNTIFS(I4:I111,Z207,M4:M111,3)</f>
        <v>3</v>
      </c>
      <c r="AC207" s="19">
        <f>COUNTIFS(F4:F111,Z207,B4:B111,1)+COUNTIFS(I4:I111,Z207,M4:M111,1)</f>
        <v>0</v>
      </c>
      <c r="AD207" s="19">
        <f>COUNTIFS(F4:F111,Z207,B4:B111,0)+COUNTIFS(I4:I111,Z207,M4:M111,0)</f>
        <v>7</v>
      </c>
      <c r="AE207" s="19">
        <f>SUMIF(F4:F111,Z207,G4:G111)+SUMIF(I4:I111,Z207,H4:H111)</f>
        <v>10</v>
      </c>
      <c r="AF207" s="19">
        <f>SUMIF(F4:F111,Z207,H4:H111)+SUMIF(I4:I111,Z207,G4:G111)</f>
        <v>27</v>
      </c>
      <c r="AG207" s="19">
        <f>+AE207-AF207</f>
        <v>-17</v>
      </c>
      <c r="AH207" s="19">
        <f>(AB207*3)+AC207</f>
        <v>9</v>
      </c>
      <c r="AI207" s="19">
        <f t="shared" si="171"/>
        <v>8999.84</v>
      </c>
      <c r="AJ207" s="2"/>
      <c r="AW207" s="7"/>
    </row>
    <row r="208" spans="1:49" x14ac:dyDescent="0.25">
      <c r="A208" s="1"/>
      <c r="B208" s="2">
        <f t="shared" si="160"/>
        <v>3</v>
      </c>
      <c r="D208" s="61">
        <f t="shared" si="164"/>
        <v>12</v>
      </c>
      <c r="F208" s="9" t="s">
        <v>162</v>
      </c>
      <c r="G208" s="10">
        <v>2</v>
      </c>
      <c r="H208" s="10">
        <v>0</v>
      </c>
      <c r="I208" s="9" t="s">
        <v>92</v>
      </c>
      <c r="J208" s="6"/>
      <c r="K208" s="61">
        <f t="shared" si="165"/>
        <v>10</v>
      </c>
      <c r="M208" s="2">
        <f t="shared" si="163"/>
        <v>0</v>
      </c>
      <c r="O208" s="2" t="str">
        <f t="shared" si="161"/>
        <v>G</v>
      </c>
      <c r="P208" s="2" t="str">
        <f t="shared" si="162"/>
        <v>P</v>
      </c>
      <c r="S208" s="2" t="str">
        <f t="shared" si="166"/>
        <v>1. FC Union BerlinFC Augsburg</v>
      </c>
      <c r="T208" s="2" t="str">
        <f t="shared" si="167"/>
        <v>2-0</v>
      </c>
      <c r="V208" s="2" t="str">
        <f t="shared" si="170"/>
        <v>1899 Hoffenheim</v>
      </c>
      <c r="W208" s="2">
        <f t="shared" si="168"/>
        <v>9</v>
      </c>
      <c r="Y208" s="19">
        <f>RANK(AI208,$AI$205:$AI$222,0)+COUNTIF($AI$204:AI207,AI208)</f>
        <v>9</v>
      </c>
      <c r="Z208" s="19" t="str">
        <f t="shared" si="169"/>
        <v>1899 Hoffenheim</v>
      </c>
      <c r="AA208" s="19">
        <f>COUNTIFS(F4:F111,Z208,G4:G111,"&gt;=0")+COUNTIFS(I4:I111,Z208,H4:H111,"&gt;=0")</f>
        <v>10</v>
      </c>
      <c r="AB208" s="19">
        <f>COUNTIFS(F4:F111,Z208,B4:B111,3)+COUNTIFS(I4:I111,Z208,M4:M111,3)</f>
        <v>5</v>
      </c>
      <c r="AC208" s="19">
        <f>COUNTIFS(F4:F111,Z208,B4:B111,1)+COUNTIFS(I4:I111,Z208,M4:M111,1)</f>
        <v>2</v>
      </c>
      <c r="AD208" s="19">
        <f>COUNTIFS(F4:F111,Z208,B4:B111,0)+COUNTIFS(I4:I111,Z208,M4:M111,0)</f>
        <v>3</v>
      </c>
      <c r="AE208" s="19">
        <f>SUMIF(F4:F111,Z208,G4:G111)+SUMIF(I4:I111,Z208,H4:H111)</f>
        <v>14</v>
      </c>
      <c r="AF208" s="19">
        <f>SUMIF(F4:F111,Z208,H4:H111)+SUMIF(I4:I111,Z208,G4:G111)</f>
        <v>13</v>
      </c>
      <c r="AG208" s="19">
        <f t="shared" ref="AG208:AG222" si="172">+AE208-AF208</f>
        <v>1</v>
      </c>
      <c r="AH208" s="19">
        <f>(AB208*3)+AC208</f>
        <v>17</v>
      </c>
      <c r="AI208" s="19">
        <f t="shared" si="171"/>
        <v>17000.023999999998</v>
      </c>
      <c r="AJ208" s="2"/>
      <c r="AW208" s="7"/>
    </row>
    <row r="209" spans="1:49" x14ac:dyDescent="0.25">
      <c r="A209" s="1"/>
      <c r="B209" s="2">
        <f t="shared" si="160"/>
        <v>3</v>
      </c>
      <c r="D209" s="61">
        <f t="shared" si="164"/>
        <v>4</v>
      </c>
      <c r="F209" s="9" t="s">
        <v>80</v>
      </c>
      <c r="G209" s="10">
        <v>5</v>
      </c>
      <c r="H209" s="10">
        <v>1</v>
      </c>
      <c r="I209" s="9" t="s">
        <v>161</v>
      </c>
      <c r="J209" s="6"/>
      <c r="K209" s="61">
        <f t="shared" si="165"/>
        <v>13</v>
      </c>
      <c r="M209" s="2">
        <f t="shared" si="163"/>
        <v>0</v>
      </c>
      <c r="O209" s="2" t="str">
        <f t="shared" si="161"/>
        <v>G</v>
      </c>
      <c r="P209" s="2" t="str">
        <f t="shared" si="162"/>
        <v>P</v>
      </c>
      <c r="S209" s="2" t="str">
        <f t="shared" si="166"/>
        <v>Borussia Dortmund1. FC Köln</v>
      </c>
      <c r="T209" s="2" t="str">
        <f t="shared" si="167"/>
        <v>5-1</v>
      </c>
      <c r="V209" s="2" t="str">
        <f t="shared" si="170"/>
        <v>Bayer Leverkusen</v>
      </c>
      <c r="W209" s="2">
        <f t="shared" si="168"/>
        <v>10</v>
      </c>
      <c r="Y209" s="19">
        <f>RANK(AI209,$AI$205:$AI$222,0)+COUNTIF($AI$204:AI208,AI209)</f>
        <v>10</v>
      </c>
      <c r="Z209" s="19" t="str">
        <f t="shared" si="169"/>
        <v>Bayer Leverkusen</v>
      </c>
      <c r="AA209" s="19">
        <f>COUNTIFS(F4:F111,Z209,G4:G111,"&gt;=0")+COUNTIFS(I4:I111,Z209,H4:H111,"&gt;=0")</f>
        <v>10</v>
      </c>
      <c r="AB209" s="19">
        <f>COUNTIFS(F4:F111,Z209,B4:B111,3)+COUNTIFS(I4:I111,Z209,M4:M111,3)</f>
        <v>4</v>
      </c>
      <c r="AC209" s="19">
        <f>COUNTIFS(F4:F111,Z209,B4:B111,1)+COUNTIFS(I4:I111,Z209,M4:M111,1)</f>
        <v>3</v>
      </c>
      <c r="AD209" s="19">
        <f>COUNTIFS(F4:F111,Z209,B4:B111,0)+COUNTIFS(I4:I111,Z209,M4:M111,0)</f>
        <v>3</v>
      </c>
      <c r="AE209" s="19">
        <f>SUMIF(F4:F111,Z209,G4:G111)+SUMIF(I4:I111,Z209,H4:H111)</f>
        <v>15</v>
      </c>
      <c r="AF209" s="19">
        <f>SUMIF(F4:F111,Z209,H4:H111)+SUMIF(I4:I111,Z209,G4:G111)</f>
        <v>15</v>
      </c>
      <c r="AG209" s="19">
        <f t="shared" si="172"/>
        <v>0</v>
      </c>
      <c r="AH209" s="19">
        <f>(AB209*3)+AC209</f>
        <v>15</v>
      </c>
      <c r="AI209" s="19">
        <f t="shared" si="171"/>
        <v>15000.014999999999</v>
      </c>
      <c r="AJ209" s="2"/>
      <c r="AW209" s="7"/>
    </row>
    <row r="210" spans="1:49" x14ac:dyDescent="0.25">
      <c r="A210" s="1"/>
      <c r="B210" s="2">
        <f t="shared" si="160"/>
        <v>0</v>
      </c>
      <c r="D210" s="61">
        <f t="shared" si="164"/>
        <v>7</v>
      </c>
      <c r="F210" s="9" t="s">
        <v>91</v>
      </c>
      <c r="G210" s="10">
        <v>0</v>
      </c>
      <c r="H210" s="10">
        <v>2</v>
      </c>
      <c r="I210" s="9" t="s">
        <v>148</v>
      </c>
      <c r="J210" s="6"/>
      <c r="K210" s="61">
        <f t="shared" si="165"/>
        <v>18</v>
      </c>
      <c r="M210" s="2">
        <f t="shared" si="163"/>
        <v>3</v>
      </c>
      <c r="O210" s="2" t="str">
        <f t="shared" si="161"/>
        <v>P</v>
      </c>
      <c r="P210" s="2" t="str">
        <f t="shared" si="162"/>
        <v>G</v>
      </c>
      <c r="S210" s="2" t="str">
        <f t="shared" si="166"/>
        <v>SC FreiburgSC Paderborn 07</v>
      </c>
      <c r="T210" s="2" t="str">
        <f t="shared" si="167"/>
        <v>0-2</v>
      </c>
      <c r="V210" s="2" t="str">
        <f t="shared" si="170"/>
        <v>Bayern München</v>
      </c>
      <c r="W210" s="2">
        <f t="shared" si="168"/>
        <v>4</v>
      </c>
      <c r="Y210" s="19">
        <f>RANK(AI210,$AI$205:$AI$222,0)+COUNTIF($AI$204:AI209,AI210)</f>
        <v>4</v>
      </c>
      <c r="Z210" s="19" t="str">
        <f t="shared" si="169"/>
        <v>Bayern München</v>
      </c>
      <c r="AA210" s="19">
        <f>COUNTIFS(F4:F111,Z210,G4:G111,"&gt;=0")+COUNTIFS(I4:I111,Z210,H4:H111,"&gt;=0")</f>
        <v>10</v>
      </c>
      <c r="AB210" s="19">
        <f>COUNTIFS(F4:F111,Z210,B4:B111,3)+COUNTIFS(I4:I111,Z210,M4:M111,3)</f>
        <v>5</v>
      </c>
      <c r="AC210" s="19">
        <f>COUNTIFS(F4:F111,Z210,B4:B111,1)+COUNTIFS(I4:I111,Z210,M4:M111,1)</f>
        <v>3</v>
      </c>
      <c r="AD210" s="19">
        <f>COUNTIFS(F4:F111,Z210,B4:B111,0)+COUNTIFS(I4:I111,Z210,M4:M111,0)</f>
        <v>2</v>
      </c>
      <c r="AE210" s="19">
        <f>SUMIF(F4:F111,Z210,G4:G111)+SUMIF(I4:I111,Z210,H4:H111)</f>
        <v>25</v>
      </c>
      <c r="AF210" s="19">
        <f>SUMIF(F4:F111,Z210,H4:H111)+SUMIF(I4:I111,Z210,G4:G111)</f>
        <v>16</v>
      </c>
      <c r="AG210" s="19">
        <f t="shared" si="172"/>
        <v>9</v>
      </c>
      <c r="AH210" s="19">
        <f t="shared" ref="AH210:AH222" si="173">(AB210*3)+AC210</f>
        <v>18</v>
      </c>
      <c r="AI210" s="19">
        <f t="shared" si="171"/>
        <v>18000.115000000002</v>
      </c>
      <c r="AJ210" s="2"/>
      <c r="AW210" s="7"/>
    </row>
    <row r="211" spans="1:49" x14ac:dyDescent="0.25">
      <c r="A211" s="1"/>
      <c r="F211" s="107"/>
      <c r="G211" s="108"/>
      <c r="H211" s="108"/>
      <c r="I211" s="107"/>
      <c r="J211" s="6"/>
      <c r="O211" s="2" t="str">
        <f t="shared" si="161"/>
        <v/>
      </c>
      <c r="P211" s="2" t="str">
        <f t="shared" si="162"/>
        <v/>
      </c>
      <c r="V211" s="2" t="str">
        <f t="shared" si="170"/>
        <v>Bor. Mönchengladbach</v>
      </c>
      <c r="W211" s="2">
        <f t="shared" si="168"/>
        <v>1</v>
      </c>
      <c r="Y211" s="19">
        <f>RANK(AI211,$AI$205:$AI$222,0)+COUNTIF($AI$204:AI210,AI211)</f>
        <v>1</v>
      </c>
      <c r="Z211" s="19" t="str">
        <f t="shared" si="169"/>
        <v>Bor. Mönchengladbach</v>
      </c>
      <c r="AA211" s="19">
        <f>COUNTIFS(F4:F111,Z211,G4:G111,"&gt;=0")+COUNTIFS(I4:I111,Z211,H4:H111,"&gt;=0")</f>
        <v>10</v>
      </c>
      <c r="AB211" s="19">
        <f>COUNTIFS(F4:F111,Z211,B4:B111,3)+COUNTIFS(I4:I111,Z211,M4:M111,3)</f>
        <v>7</v>
      </c>
      <c r="AC211" s="19">
        <f>COUNTIFS(F4:F111,Z211,B4:B111,1)+COUNTIFS(I4:I111,Z211,M4:M111,1)</f>
        <v>1</v>
      </c>
      <c r="AD211" s="19">
        <f>COUNTIFS(F4:F111,Z211,B4:B111,0)+COUNTIFS(I4:I111,Z211,M4:M111,0)</f>
        <v>2</v>
      </c>
      <c r="AE211" s="19">
        <f>SUMIF(F4:F111,Z211,G4:G111)+SUMIF(I4:I111,Z211,H4:H111)</f>
        <v>21</v>
      </c>
      <c r="AF211" s="19">
        <f>SUMIF(F4:F111,Z211,H4:H111)+SUMIF(I4:I111,Z211,G4:G111)</f>
        <v>10</v>
      </c>
      <c r="AG211" s="19">
        <f t="shared" si="172"/>
        <v>11</v>
      </c>
      <c r="AH211" s="19">
        <f t="shared" si="173"/>
        <v>22</v>
      </c>
      <c r="AI211" s="19">
        <f t="shared" si="171"/>
        <v>22000.131000000001</v>
      </c>
      <c r="AJ211" s="2"/>
      <c r="AW211" s="7"/>
    </row>
    <row r="212" spans="1:49" x14ac:dyDescent="0.25">
      <c r="A212" s="1"/>
      <c r="B212" s="2" t="str">
        <f t="shared" si="160"/>
        <v/>
      </c>
      <c r="F212" s="154" t="s">
        <v>59</v>
      </c>
      <c r="G212" s="154"/>
      <c r="H212" s="154"/>
      <c r="I212" s="154"/>
      <c r="J212" s="6"/>
      <c r="M212" s="2" t="str">
        <f t="shared" ref="M212:M221" si="174">IF(H212="","",IF(H212&gt;G212,3,IF(H212=G212,1,0)))</f>
        <v/>
      </c>
      <c r="O212" s="2" t="str">
        <f t="shared" si="161"/>
        <v/>
      </c>
      <c r="P212" s="2" t="str">
        <f t="shared" si="162"/>
        <v/>
      </c>
      <c r="V212" s="2" t="str">
        <f t="shared" si="170"/>
        <v>Borussia Dortmund</v>
      </c>
      <c r="W212" s="2">
        <f t="shared" si="168"/>
        <v>2</v>
      </c>
      <c r="Y212" s="19">
        <f>RANK(AI212,$AI$205:$AI$222,0)+COUNTIF($AI$204:AI211,AI212)</f>
        <v>2</v>
      </c>
      <c r="Z212" s="19" t="str">
        <f t="shared" si="169"/>
        <v>Borussia Dortmund</v>
      </c>
      <c r="AA212" s="19">
        <f>COUNTIFS(F4:F111,Z212,G4:G111,"&gt;=0")+COUNTIFS(I4:I111,Z212,H4:H111,"&gt;=0")</f>
        <v>10</v>
      </c>
      <c r="AB212" s="19">
        <f>COUNTIFS(F4:F111,Z212,B4:B111,3)+COUNTIFS(I4:I111,Z212,M4:M111,3)</f>
        <v>5</v>
      </c>
      <c r="AC212" s="19">
        <f>COUNTIFS(F4:F111,Z212,B4:B111,1)+COUNTIFS(I4:I111,Z212,M4:M111,1)</f>
        <v>4</v>
      </c>
      <c r="AD212" s="19">
        <f>COUNTIFS(F4:F111,Z212,B4:B111,0)+COUNTIFS(I4:I111,Z212,M4:M111,0)</f>
        <v>1</v>
      </c>
      <c r="AE212" s="19">
        <f>SUMIF(F4:F111,Z212,G4:G111)+SUMIF(I4:I111,Z212,H4:H111)</f>
        <v>23</v>
      </c>
      <c r="AF212" s="19">
        <f>SUMIF(F4:F111,Z212,H4:H111)+SUMIF(I4:I111,Z212,G4:G111)</f>
        <v>11</v>
      </c>
      <c r="AG212" s="19">
        <f t="shared" si="172"/>
        <v>12</v>
      </c>
      <c r="AH212" s="19">
        <f t="shared" si="173"/>
        <v>19</v>
      </c>
      <c r="AI212" s="19">
        <f t="shared" si="171"/>
        <v>19000.143</v>
      </c>
      <c r="AJ212" s="2"/>
      <c r="AW212" s="7"/>
    </row>
    <row r="213" spans="1:49" x14ac:dyDescent="0.25">
      <c r="A213" s="1"/>
      <c r="B213" s="2">
        <f t="shared" si="160"/>
        <v>0</v>
      </c>
      <c r="D213" s="61">
        <f t="shared" ref="D213:D221" si="175">IFERROR(VLOOKUP(F213,$V$385:$W$402,2,FALSE),"")</f>
        <v>15</v>
      </c>
      <c r="F213" s="9" t="s">
        <v>90</v>
      </c>
      <c r="G213" s="10">
        <v>1</v>
      </c>
      <c r="H213" s="10">
        <v>3</v>
      </c>
      <c r="I213" s="9" t="s">
        <v>79</v>
      </c>
      <c r="J213" s="6"/>
      <c r="K213" s="61">
        <f t="shared" ref="K213:K221" si="176">IFERROR(VLOOKUP(I213,$V$385:$W$402,2,FALSE),"")</f>
        <v>2</v>
      </c>
      <c r="M213" s="2">
        <f t="shared" si="174"/>
        <v>3</v>
      </c>
      <c r="O213" s="2" t="str">
        <f t="shared" si="161"/>
        <v>P</v>
      </c>
      <c r="P213" s="2" t="str">
        <f t="shared" si="162"/>
        <v>G</v>
      </c>
      <c r="S213" s="2" t="str">
        <f t="shared" ref="S213:S221" si="177">IF(M213&lt;&gt;"",F213&amp;I213,"")</f>
        <v>1. FSV Mainz 05Bayern München</v>
      </c>
      <c r="T213" s="2" t="str">
        <f t="shared" ref="T213:T221" si="178">IF(S213&lt;&gt;"",G213&amp;"-"&amp;H213,"")</f>
        <v>1-3</v>
      </c>
      <c r="V213" s="2" t="str">
        <f t="shared" si="170"/>
        <v>Eintracht Frankfurt</v>
      </c>
      <c r="W213" s="2">
        <f t="shared" si="168"/>
        <v>7</v>
      </c>
      <c r="Y213" s="19">
        <f>RANK(AI213,$AI$205:$AI$222,0)+COUNTIF($AI$204:AI212,AI213)</f>
        <v>7</v>
      </c>
      <c r="Z213" s="19" t="str">
        <f t="shared" si="169"/>
        <v>Eintracht Frankfurt</v>
      </c>
      <c r="AA213" s="19">
        <f>COUNTIFS(F4:F111,Z213,G4:G111,"&gt;=0")+COUNTIFS(I4:I111,Z213,H4:H111,"&gt;=0")</f>
        <v>10</v>
      </c>
      <c r="AB213" s="19">
        <f>COUNTIFS(F4:F111,Z213,B4:B111,3)+COUNTIFS(I4:I111,Z213,M4:M111,3)</f>
        <v>5</v>
      </c>
      <c r="AC213" s="19">
        <f>COUNTIFS(F4:F111,Z213,B4:B111,1)+COUNTIFS(I4:I111,Z213,M4:M111,1)</f>
        <v>2</v>
      </c>
      <c r="AD213" s="19">
        <f>COUNTIFS(F4:F111,Z213,B4:B111,0)+COUNTIFS(I4:I111,Z213,M4:M111,0)</f>
        <v>3</v>
      </c>
      <c r="AE213" s="19">
        <f>SUMIF(F4:F111,Z213,G4:G111)+SUMIF(I4:I111,Z213,H4:H111)</f>
        <v>21</v>
      </c>
      <c r="AF213" s="19">
        <f>SUMIF(F4:F111,Z213,H4:H111)+SUMIF(I4:I111,Z213,G4:G111)</f>
        <v>15</v>
      </c>
      <c r="AG213" s="19">
        <f t="shared" si="172"/>
        <v>6</v>
      </c>
      <c r="AH213" s="19">
        <f t="shared" si="173"/>
        <v>17</v>
      </c>
      <c r="AI213" s="19">
        <f t="shared" si="171"/>
        <v>17000.081000000002</v>
      </c>
      <c r="AJ213" s="2"/>
      <c r="AW213" s="7"/>
    </row>
    <row r="214" spans="1:49" x14ac:dyDescent="0.25">
      <c r="A214" s="1"/>
      <c r="B214" s="2">
        <f t="shared" si="160"/>
        <v>3</v>
      </c>
      <c r="D214" s="61">
        <f t="shared" si="175"/>
        <v>7</v>
      </c>
      <c r="F214" s="9" t="s">
        <v>86</v>
      </c>
      <c r="G214" s="10">
        <v>2</v>
      </c>
      <c r="H214" s="10">
        <v>1</v>
      </c>
      <c r="I214" s="9" t="s">
        <v>83</v>
      </c>
      <c r="J214" s="6"/>
      <c r="K214" s="61">
        <f t="shared" si="176"/>
        <v>5</v>
      </c>
      <c r="M214" s="2">
        <f t="shared" si="174"/>
        <v>0</v>
      </c>
      <c r="O214" s="2" t="str">
        <f t="shared" si="161"/>
        <v>G</v>
      </c>
      <c r="P214" s="2" t="str">
        <f t="shared" si="162"/>
        <v>P</v>
      </c>
      <c r="S214" s="2" t="str">
        <f t="shared" si="177"/>
        <v>1899 HoffenheimBayer Leverkusen</v>
      </c>
      <c r="T214" s="2" t="str">
        <f t="shared" si="178"/>
        <v>2-1</v>
      </c>
      <c r="V214" s="2" t="str">
        <f t="shared" si="170"/>
        <v>FC Augsburg</v>
      </c>
      <c r="W214" s="2">
        <f t="shared" si="168"/>
        <v>16</v>
      </c>
      <c r="Y214" s="19">
        <f>RANK(AI214,$AI$205:$AI$222,0)+COUNTIF($AI$204:AI213,AI214)</f>
        <v>16</v>
      </c>
      <c r="Z214" s="19" t="str">
        <f t="shared" si="169"/>
        <v>FC Augsburg</v>
      </c>
      <c r="AA214" s="19">
        <f>COUNTIFS(F4:F111,Z214,G4:G111,"&gt;=0")+COUNTIFS(I4:I111,Z214,H4:H111,"&gt;=0")</f>
        <v>10</v>
      </c>
      <c r="AB214" s="19">
        <f>COUNTIFS(F4:F111,Z214,B4:B111,3)+COUNTIFS(I4:I111,Z214,M4:M111,3)</f>
        <v>1</v>
      </c>
      <c r="AC214" s="19">
        <f>COUNTIFS(F4:F111,Z214,B4:B111,1)+COUNTIFS(I4:I111,Z214,M4:M111,1)</f>
        <v>4</v>
      </c>
      <c r="AD214" s="19">
        <f>COUNTIFS(F4:F111,Z214,B4:B111,0)+COUNTIFS(I4:I111,Z214,M4:M111,0)</f>
        <v>5</v>
      </c>
      <c r="AE214" s="19">
        <f>SUMIF(F4:F111,Z214,G4:G111)+SUMIF(I4:I111,Z214,H4:H111)</f>
        <v>12</v>
      </c>
      <c r="AF214" s="19">
        <f>SUMIF(F4:F111,Z214,H4:H111)+SUMIF(I4:I111,Z214,G4:G111)</f>
        <v>24</v>
      </c>
      <c r="AG214" s="19">
        <f t="shared" si="172"/>
        <v>-12</v>
      </c>
      <c r="AH214" s="19">
        <f t="shared" si="173"/>
        <v>7</v>
      </c>
      <c r="AI214" s="19">
        <f t="shared" si="171"/>
        <v>6999.8919999999998</v>
      </c>
      <c r="AJ214" s="2"/>
      <c r="AW214" s="7"/>
    </row>
    <row r="215" spans="1:49" x14ac:dyDescent="0.25">
      <c r="A215" s="1"/>
      <c r="B215" s="2">
        <f t="shared" si="160"/>
        <v>1</v>
      </c>
      <c r="D215" s="61">
        <f t="shared" si="175"/>
        <v>1</v>
      </c>
      <c r="F215" s="9" t="s">
        <v>81</v>
      </c>
      <c r="G215" s="10">
        <v>2</v>
      </c>
      <c r="H215" s="10">
        <v>2</v>
      </c>
      <c r="I215" s="9" t="s">
        <v>82</v>
      </c>
      <c r="J215" s="6"/>
      <c r="K215" s="61">
        <f t="shared" si="176"/>
        <v>3</v>
      </c>
      <c r="M215" s="2">
        <f t="shared" si="174"/>
        <v>1</v>
      </c>
      <c r="O215" s="2" t="str">
        <f t="shared" si="161"/>
        <v>N</v>
      </c>
      <c r="P215" s="2" t="str">
        <f t="shared" si="162"/>
        <v>N</v>
      </c>
      <c r="S215" s="2" t="str">
        <f t="shared" si="177"/>
        <v>RB LeipzigBor. Mönchengladbach</v>
      </c>
      <c r="T215" s="2" t="str">
        <f t="shared" si="178"/>
        <v>2-2</v>
      </c>
      <c r="V215" s="2" t="str">
        <f t="shared" si="170"/>
        <v>FC Schalke 04</v>
      </c>
      <c r="W215" s="2">
        <f t="shared" si="168"/>
        <v>6</v>
      </c>
      <c r="Y215" s="19">
        <f>RANK(AI215,$AI$205:$AI$222,0)+COUNTIF($AI$204:AI214,AI215)</f>
        <v>6</v>
      </c>
      <c r="Z215" s="19" t="str">
        <f t="shared" si="169"/>
        <v>FC Schalke 04</v>
      </c>
      <c r="AA215" s="19">
        <f>COUNTIFS(F4:F111,Z215,G4:G111,"&gt;=0")+COUNTIFS(I4:I111,Z215,H4:H111,"&gt;=0")</f>
        <v>10</v>
      </c>
      <c r="AB215" s="19">
        <f>COUNTIFS(F4:F111,Z215,B4:B111,3)+COUNTIFS(I4:I111,Z215,M4:M111,3)</f>
        <v>5</v>
      </c>
      <c r="AC215" s="19">
        <f>COUNTIFS(F4:F111,Z215,B4:B111,1)+COUNTIFS(I4:I111,Z215,M4:M111,1)</f>
        <v>3</v>
      </c>
      <c r="AD215" s="19">
        <f>COUNTIFS(F4:F111,Z215,B4:B111,0)+COUNTIFS(I4:I111,Z215,M4:M111,0)</f>
        <v>2</v>
      </c>
      <c r="AE215" s="19">
        <f>SUMIF(F4:F111,Z215,G4:G111)+SUMIF(I4:I111,Z215,H4:H111)</f>
        <v>17</v>
      </c>
      <c r="AF215" s="19">
        <f>SUMIF(F4:F111,Z215,H4:H111)+SUMIF(I4:I111,Z215,G4:G111)</f>
        <v>11</v>
      </c>
      <c r="AG215" s="19">
        <f t="shared" si="172"/>
        <v>6</v>
      </c>
      <c r="AH215" s="19">
        <f t="shared" si="173"/>
        <v>18</v>
      </c>
      <c r="AI215" s="19">
        <f t="shared" si="171"/>
        <v>18000.077000000001</v>
      </c>
      <c r="AJ215" s="2"/>
      <c r="AW215" s="7"/>
    </row>
    <row r="216" spans="1:49" x14ac:dyDescent="0.25">
      <c r="A216" s="1"/>
      <c r="B216" s="2">
        <f t="shared" si="160"/>
        <v>0</v>
      </c>
      <c r="D216" s="61">
        <f t="shared" si="175"/>
        <v>17</v>
      </c>
      <c r="F216" s="9" t="s">
        <v>148</v>
      </c>
      <c r="G216" s="10">
        <v>2</v>
      </c>
      <c r="H216" s="10">
        <v>4</v>
      </c>
      <c r="I216" s="9" t="s">
        <v>85</v>
      </c>
      <c r="J216" s="6"/>
      <c r="K216" s="61">
        <f t="shared" si="176"/>
        <v>10</v>
      </c>
      <c r="M216" s="2">
        <f t="shared" si="174"/>
        <v>3</v>
      </c>
      <c r="O216" s="2" t="str">
        <f t="shared" si="161"/>
        <v>P</v>
      </c>
      <c r="P216" s="2" t="str">
        <f t="shared" si="162"/>
        <v>G</v>
      </c>
      <c r="S216" s="2" t="str">
        <f t="shared" si="177"/>
        <v>SC Paderborn 07VfL Wolfsburg</v>
      </c>
      <c r="T216" s="2" t="str">
        <f t="shared" si="178"/>
        <v>2-4</v>
      </c>
      <c r="V216" s="2" t="str">
        <f t="shared" si="170"/>
        <v>Fortuna Düsseldorf</v>
      </c>
      <c r="W216" s="2">
        <f t="shared" si="168"/>
        <v>13</v>
      </c>
      <c r="Y216" s="19">
        <f>RANK(AI216,$AI$205:$AI$222,0)+COUNTIF($AI$204:AI215,AI216)</f>
        <v>13</v>
      </c>
      <c r="Z216" s="19" t="str">
        <f t="shared" si="169"/>
        <v>Fortuna Düsseldorf</v>
      </c>
      <c r="AA216" s="19">
        <f>COUNTIFS(F4:F111,Z216,G4:G111,"&gt;=0")+COUNTIFS(I4:I111,Z216,H4:H111,"&gt;=0")</f>
        <v>10</v>
      </c>
      <c r="AB216" s="19">
        <f>COUNTIFS(F4:F111,Z216,B4:B111,3)+COUNTIFS(I4:I111,Z216,M4:M111,3)</f>
        <v>3</v>
      </c>
      <c r="AC216" s="19">
        <f>COUNTIFS(F4:F111,Z216,B4:B111,1)+COUNTIFS(I4:I111,Z216,M4:M111,1)</f>
        <v>1</v>
      </c>
      <c r="AD216" s="19">
        <f>COUNTIFS(F4:F111,Z216,B4:B111,0)+COUNTIFS(I4:I111,Z216,M4:M111,0)</f>
        <v>6</v>
      </c>
      <c r="AE216" s="19">
        <f>SUMIF(F4:F111,Z216,G4:G111)+SUMIF(I4:I111,Z216,H4:H111)</f>
        <v>12</v>
      </c>
      <c r="AF216" s="19">
        <f>SUMIF(F4:F111,Z216,H4:H111)+SUMIF(I4:I111,Z216,G4:G111)</f>
        <v>16</v>
      </c>
      <c r="AG216" s="19">
        <f t="shared" si="172"/>
        <v>-4</v>
      </c>
      <c r="AH216" s="19">
        <f t="shared" si="173"/>
        <v>10</v>
      </c>
      <c r="AI216" s="19">
        <f t="shared" si="171"/>
        <v>9999.9719999999998</v>
      </c>
      <c r="AJ216" s="2"/>
      <c r="AW216" s="7"/>
    </row>
    <row r="217" spans="1:49" x14ac:dyDescent="0.25">
      <c r="A217" s="1"/>
      <c r="B217" s="2">
        <f t="shared" si="160"/>
        <v>1</v>
      </c>
      <c r="D217" s="61">
        <f t="shared" si="175"/>
        <v>18</v>
      </c>
      <c r="F217" s="9" t="s">
        <v>89</v>
      </c>
      <c r="G217" s="10">
        <v>1</v>
      </c>
      <c r="H217" s="10">
        <v>1</v>
      </c>
      <c r="I217" s="9" t="s">
        <v>84</v>
      </c>
      <c r="J217" s="6"/>
      <c r="K217" s="61">
        <f t="shared" si="176"/>
        <v>9</v>
      </c>
      <c r="M217" s="2">
        <f t="shared" si="174"/>
        <v>1</v>
      </c>
      <c r="O217" s="2" t="str">
        <f t="shared" si="161"/>
        <v>N</v>
      </c>
      <c r="P217" s="2" t="str">
        <f t="shared" si="162"/>
        <v>N</v>
      </c>
      <c r="S217" s="2" t="str">
        <f t="shared" si="177"/>
        <v>Fortuna DüsseldorfEintracht Frankfurt</v>
      </c>
      <c r="T217" s="2" t="str">
        <f t="shared" si="178"/>
        <v>1-1</v>
      </c>
      <c r="V217" s="2" t="str">
        <f t="shared" si="170"/>
        <v>Hertha BSC</v>
      </c>
      <c r="W217" s="2">
        <f t="shared" si="168"/>
        <v>11</v>
      </c>
      <c r="Y217" s="19">
        <f>RANK(AI217,$AI$205:$AI$222,0)+COUNTIF($AI$204:AI216,AI217)</f>
        <v>11</v>
      </c>
      <c r="Z217" s="19" t="str">
        <f t="shared" si="169"/>
        <v>Hertha BSC</v>
      </c>
      <c r="AA217" s="19">
        <f>COUNTIFS(F4:F111,Z217,G4:G111,"&gt;=0")+COUNTIFS(I4:I111,Z217,H4:H111,"&gt;=0")</f>
        <v>10</v>
      </c>
      <c r="AB217" s="19">
        <f>COUNTIFS(F4:F111,Z217,B4:B111,3)+COUNTIFS(I4:I111,Z217,M4:M111,3)</f>
        <v>3</v>
      </c>
      <c r="AC217" s="19">
        <f>COUNTIFS(F4:F111,Z217,B4:B111,1)+COUNTIFS(I4:I111,Z217,M4:M111,1)</f>
        <v>2</v>
      </c>
      <c r="AD217" s="19">
        <f>COUNTIFS(F4:F111,Z217,B4:B111,0)+COUNTIFS(I4:I111,Z217,M4:M111,0)</f>
        <v>5</v>
      </c>
      <c r="AE217" s="19">
        <f>SUMIF(F4:F111,Z217,G4:G111)+SUMIF(I4:I111,Z217,H4:H111)</f>
        <v>15</v>
      </c>
      <c r="AF217" s="19">
        <f>SUMIF(F4:F111,Z217,H4:H111)+SUMIF(I4:I111,Z217,G4:G111)</f>
        <v>17</v>
      </c>
      <c r="AG217" s="19">
        <f t="shared" si="172"/>
        <v>-2</v>
      </c>
      <c r="AH217" s="19">
        <f t="shared" si="173"/>
        <v>11</v>
      </c>
      <c r="AI217" s="19">
        <f t="shared" si="171"/>
        <v>10999.994999999999</v>
      </c>
      <c r="AJ217" s="2"/>
      <c r="AW217" s="7"/>
    </row>
    <row r="218" spans="1:49" x14ac:dyDescent="0.25">
      <c r="A218" s="1"/>
      <c r="B218" s="2">
        <f t="shared" si="160"/>
        <v>3</v>
      </c>
      <c r="D218" s="61">
        <f t="shared" si="175"/>
        <v>12</v>
      </c>
      <c r="F218" s="9" t="s">
        <v>92</v>
      </c>
      <c r="G218" s="10">
        <v>2</v>
      </c>
      <c r="H218" s="10">
        <v>1</v>
      </c>
      <c r="I218" s="9" t="s">
        <v>87</v>
      </c>
      <c r="J218" s="6"/>
      <c r="K218" s="61">
        <f t="shared" si="176"/>
        <v>16</v>
      </c>
      <c r="M218" s="2">
        <f t="shared" si="174"/>
        <v>0</v>
      </c>
      <c r="O218" s="2" t="str">
        <f t="shared" si="161"/>
        <v>G</v>
      </c>
      <c r="P218" s="2" t="str">
        <f t="shared" si="162"/>
        <v>P</v>
      </c>
      <c r="S218" s="2" t="str">
        <f t="shared" si="177"/>
        <v>FC AugsburgWerder Bremen</v>
      </c>
      <c r="T218" s="2" t="str">
        <f t="shared" si="178"/>
        <v>2-1</v>
      </c>
      <c r="V218" s="2" t="str">
        <f t="shared" si="170"/>
        <v>RB Leipzig</v>
      </c>
      <c r="W218" s="2">
        <f t="shared" si="168"/>
        <v>3</v>
      </c>
      <c r="Y218" s="19">
        <f>RANK(AI218,$AI$205:$AI$222,0)+COUNTIF($AI$204:AI217,AI218)</f>
        <v>3</v>
      </c>
      <c r="Z218" s="19" t="str">
        <f t="shared" si="169"/>
        <v>RB Leipzig</v>
      </c>
      <c r="AA218" s="19">
        <f>COUNTIFS(F4:F111,Z218,G4:G111,"&gt;=0")+COUNTIFS(I4:I111,Z218,H4:H111,"&gt;=0")</f>
        <v>10</v>
      </c>
      <c r="AB218" s="19">
        <f>COUNTIFS(F4:F111,Z218,B4:B111,3)+COUNTIFS(I4:I111,Z218,M4:M111,3)</f>
        <v>5</v>
      </c>
      <c r="AC218" s="19">
        <f>COUNTIFS(F4:F111,Z218,B4:B111,1)+COUNTIFS(I4:I111,Z218,M4:M111,1)</f>
        <v>3</v>
      </c>
      <c r="AD218" s="19">
        <f>COUNTIFS(F4:F111,Z218,B4:B111,0)+COUNTIFS(I4:I111,Z218,M4:M111,0)</f>
        <v>2</v>
      </c>
      <c r="AE218" s="19">
        <f>SUMIF(F4:F111,Z218,G4:G111)+SUMIF(I4:I111,Z218,H4:H111)</f>
        <v>25</v>
      </c>
      <c r="AF218" s="19">
        <f>SUMIF(F4:F111,Z218,H4:H111)+SUMIF(I4:I111,Z218,G4:G111)</f>
        <v>10</v>
      </c>
      <c r="AG218" s="19">
        <f t="shared" si="172"/>
        <v>15</v>
      </c>
      <c r="AH218" s="19">
        <f t="shared" si="173"/>
        <v>18</v>
      </c>
      <c r="AI218" s="19">
        <f t="shared" si="171"/>
        <v>18000.175000000003</v>
      </c>
      <c r="AJ218" s="2"/>
      <c r="AW218" s="7"/>
    </row>
    <row r="219" spans="1:49" x14ac:dyDescent="0.25">
      <c r="A219" s="1"/>
      <c r="B219" s="2">
        <f t="shared" si="160"/>
        <v>3</v>
      </c>
      <c r="D219" s="61">
        <f t="shared" si="175"/>
        <v>14</v>
      </c>
      <c r="F219" s="9" t="s">
        <v>161</v>
      </c>
      <c r="G219" s="10">
        <v>4</v>
      </c>
      <c r="H219" s="10">
        <v>0</v>
      </c>
      <c r="I219" s="9" t="s">
        <v>91</v>
      </c>
      <c r="J219" s="6"/>
      <c r="K219" s="61">
        <f t="shared" si="176"/>
        <v>8</v>
      </c>
      <c r="M219" s="2">
        <f t="shared" si="174"/>
        <v>0</v>
      </c>
      <c r="O219" s="2" t="str">
        <f t="shared" si="161"/>
        <v>G</v>
      </c>
      <c r="P219" s="2" t="str">
        <f t="shared" si="162"/>
        <v>P</v>
      </c>
      <c r="S219" s="2" t="str">
        <f t="shared" si="177"/>
        <v>1. FC KölnSC Freiburg</v>
      </c>
      <c r="T219" s="2" t="str">
        <f t="shared" si="178"/>
        <v>4-0</v>
      </c>
      <c r="V219" s="2" t="str">
        <f t="shared" si="170"/>
        <v>SC Freiburg</v>
      </c>
      <c r="W219" s="2">
        <f t="shared" si="168"/>
        <v>5</v>
      </c>
      <c r="Y219" s="19">
        <f>RANK(AI219,$AI$205:$AI$222,0)+COUNTIF($AI$204:AI218,AI219)</f>
        <v>5</v>
      </c>
      <c r="Z219" s="19" t="str">
        <f t="shared" si="169"/>
        <v>SC Freiburg</v>
      </c>
      <c r="AA219" s="19">
        <f>COUNTIFS(F4:F111,Z219,G4:G111,"&gt;=0")+COUNTIFS(I4:I111,Z219,H4:H111,"&gt;=0")</f>
        <v>10</v>
      </c>
      <c r="AB219" s="19">
        <f>COUNTIFS(F4:F111,Z219,B4:B111,3)+COUNTIFS(I4:I111,Z219,M4:M111,3)</f>
        <v>5</v>
      </c>
      <c r="AC219" s="19">
        <f>COUNTIFS(F4:F111,Z219,B4:B111,1)+COUNTIFS(I4:I111,Z219,M4:M111,1)</f>
        <v>3</v>
      </c>
      <c r="AD219" s="19">
        <f>COUNTIFS(F4:F111,Z219,B4:B111,0)+COUNTIFS(I4:I111,Z219,M4:M111,0)</f>
        <v>2</v>
      </c>
      <c r="AE219" s="19">
        <f>SUMIF(F4:F111,Z219,G4:G111)+SUMIF(I4:I111,Z219,H4:H111)</f>
        <v>19</v>
      </c>
      <c r="AF219" s="19">
        <f>SUMIF(F4:F111,Z219,H4:H111)+SUMIF(I4:I111,Z219,G4:G111)</f>
        <v>12</v>
      </c>
      <c r="AG219" s="19">
        <f t="shared" si="172"/>
        <v>7</v>
      </c>
      <c r="AH219" s="19">
        <f t="shared" si="173"/>
        <v>18</v>
      </c>
      <c r="AI219" s="19">
        <f t="shared" si="171"/>
        <v>18000.089</v>
      </c>
      <c r="AJ219" s="2"/>
      <c r="AW219" s="7"/>
    </row>
    <row r="220" spans="1:49" x14ac:dyDescent="0.25">
      <c r="A220" s="1"/>
      <c r="B220" s="2">
        <f t="shared" si="160"/>
        <v>1</v>
      </c>
      <c r="D220" s="61">
        <f t="shared" si="175"/>
        <v>13</v>
      </c>
      <c r="F220" s="9" t="s">
        <v>88</v>
      </c>
      <c r="G220" s="10">
        <v>0</v>
      </c>
      <c r="H220" s="10">
        <v>0</v>
      </c>
      <c r="I220" s="9" t="s">
        <v>93</v>
      </c>
      <c r="J220" s="6"/>
      <c r="K220" s="61">
        <f t="shared" si="176"/>
        <v>6</v>
      </c>
      <c r="M220" s="2">
        <f t="shared" si="174"/>
        <v>1</v>
      </c>
      <c r="O220" s="2" t="str">
        <f t="shared" si="161"/>
        <v>N</v>
      </c>
      <c r="P220" s="2" t="str">
        <f t="shared" si="162"/>
        <v>N</v>
      </c>
      <c r="S220" s="2" t="str">
        <f t="shared" si="177"/>
        <v>Hertha BSCFC Schalke 04</v>
      </c>
      <c r="T220" s="2" t="str">
        <f t="shared" si="178"/>
        <v>0-0</v>
      </c>
      <c r="V220" s="2" t="str">
        <f t="shared" si="170"/>
        <v>SC Paderborn 07</v>
      </c>
      <c r="W220" s="2">
        <f t="shared" si="168"/>
        <v>18</v>
      </c>
      <c r="Y220" s="19">
        <f>RANK(AI220,$AI$205:$AI$222,0)+COUNTIF($AI$204:AI219,AI220)</f>
        <v>18</v>
      </c>
      <c r="Z220" s="19" t="str">
        <f t="shared" si="169"/>
        <v>SC Paderborn 07</v>
      </c>
      <c r="AA220" s="19">
        <f>COUNTIFS(F4:F111,Z220,G4:G111,"&gt;=0")+COUNTIFS(I4:I111,Z220,H4:H111,"&gt;=0")</f>
        <v>10</v>
      </c>
      <c r="AB220" s="19">
        <f>COUNTIFS(F4:F111,Z220,B4:B111,3)+COUNTIFS(I4:I111,Z220,M4:M111,3)</f>
        <v>1</v>
      </c>
      <c r="AC220" s="19">
        <f>COUNTIFS(F4:F111,Z220,B4:B111,1)+COUNTIFS(I4:I111,Z220,M4:M111,1)</f>
        <v>1</v>
      </c>
      <c r="AD220" s="19">
        <f>COUNTIFS(F4:F111,Z220,B4:B111,0)+COUNTIFS(I4:I111,Z220,M4:M111,0)</f>
        <v>8</v>
      </c>
      <c r="AE220" s="19">
        <f>SUMIF(F4:F111,Z220,G4:G111)+SUMIF(I4:I111,Z220,H4:H111)</f>
        <v>11</v>
      </c>
      <c r="AF220" s="19">
        <f>SUMIF(F4:F111,Z220,H4:H111)+SUMIF(I4:I111,Z220,G4:G111)</f>
        <v>25</v>
      </c>
      <c r="AG220" s="19">
        <f t="shared" si="172"/>
        <v>-14</v>
      </c>
      <c r="AH220" s="19">
        <f t="shared" si="173"/>
        <v>4</v>
      </c>
      <c r="AI220" s="19">
        <f t="shared" si="171"/>
        <v>3999.8710000000001</v>
      </c>
      <c r="AJ220" s="2"/>
      <c r="AW220" s="7"/>
    </row>
    <row r="221" spans="1:49" x14ac:dyDescent="0.25">
      <c r="A221" s="1"/>
      <c r="B221" s="2">
        <f t="shared" si="160"/>
        <v>3</v>
      </c>
      <c r="D221" s="61">
        <f t="shared" si="175"/>
        <v>4</v>
      </c>
      <c r="F221" s="9" t="s">
        <v>80</v>
      </c>
      <c r="G221" s="10">
        <v>5</v>
      </c>
      <c r="H221" s="10">
        <v>0</v>
      </c>
      <c r="I221" s="9" t="s">
        <v>162</v>
      </c>
      <c r="J221" s="6"/>
      <c r="K221" s="61">
        <f t="shared" si="176"/>
        <v>11</v>
      </c>
      <c r="M221" s="2">
        <f t="shared" si="174"/>
        <v>0</v>
      </c>
      <c r="O221" s="2" t="str">
        <f t="shared" si="161"/>
        <v>G</v>
      </c>
      <c r="P221" s="2" t="str">
        <f t="shared" si="162"/>
        <v>P</v>
      </c>
      <c r="S221" s="2" t="str">
        <f t="shared" si="177"/>
        <v>Borussia Dortmund1. FC Union Berlin</v>
      </c>
      <c r="T221" s="2" t="str">
        <f t="shared" si="178"/>
        <v>5-0</v>
      </c>
      <c r="V221" s="2" t="str">
        <f t="shared" si="170"/>
        <v>VfL Wolfsburg</v>
      </c>
      <c r="W221" s="2">
        <f t="shared" si="168"/>
        <v>8</v>
      </c>
      <c r="Y221" s="19">
        <f>RANK(AI221,$AI$205:$AI$222,0)+COUNTIF($AI$204:AI220,AI221)</f>
        <v>8</v>
      </c>
      <c r="Z221" s="19" t="str">
        <f t="shared" si="169"/>
        <v>VfL Wolfsburg</v>
      </c>
      <c r="AA221" s="19">
        <f>COUNTIFS(F4:F111,Z221,G4:G111,"&gt;=0")+COUNTIFS(I4:I111,Z221,H4:H111,"&gt;=0")</f>
        <v>10</v>
      </c>
      <c r="AB221" s="19">
        <f>COUNTIFS(F4:F111,Z221,B4:B111,3)+COUNTIFS(I4:I111,Z221,M4:M111,3)</f>
        <v>4</v>
      </c>
      <c r="AC221" s="19">
        <f>COUNTIFS(F4:F111,Z221,B4:B111,1)+COUNTIFS(I4:I111,Z221,M4:M111,1)</f>
        <v>5</v>
      </c>
      <c r="AD221" s="19">
        <f>COUNTIFS(F4:F111,Z221,B4:B111,0)+COUNTIFS(I4:I111,Z221,M4:M111,0)</f>
        <v>1</v>
      </c>
      <c r="AE221" s="19">
        <f>SUMIF(F4:F111,Z221,G4:G111)+SUMIF(I4:I111,Z221,H4:H111)</f>
        <v>11</v>
      </c>
      <c r="AF221" s="19">
        <f>SUMIF(F4:F111,Z221,H4:H111)+SUMIF(I4:I111,Z221,G4:G111)</f>
        <v>8</v>
      </c>
      <c r="AG221" s="19">
        <f t="shared" si="172"/>
        <v>3</v>
      </c>
      <c r="AH221" s="19">
        <f t="shared" si="173"/>
        <v>17</v>
      </c>
      <c r="AI221" s="19">
        <f t="shared" si="171"/>
        <v>17000.040999999997</v>
      </c>
      <c r="AJ221" s="2"/>
      <c r="AW221" s="7"/>
    </row>
    <row r="222" spans="1:49" x14ac:dyDescent="0.25">
      <c r="A222" s="1"/>
      <c r="F222" s="107"/>
      <c r="G222" s="108"/>
      <c r="H222" s="108"/>
      <c r="I222" s="107"/>
      <c r="J222" s="6"/>
      <c r="O222" s="2" t="str">
        <f t="shared" si="161"/>
        <v/>
      </c>
      <c r="P222" s="2" t="str">
        <f t="shared" si="162"/>
        <v/>
      </c>
      <c r="V222" s="2" t="str">
        <f t="shared" si="170"/>
        <v>Werder Bremen</v>
      </c>
      <c r="W222" s="2">
        <f t="shared" si="168"/>
        <v>12</v>
      </c>
      <c r="Y222" s="19">
        <f>RANK(AI222,$AI$205:$AI$222,0)+COUNTIF($AI$204:AI221,AI222)</f>
        <v>12</v>
      </c>
      <c r="Z222" s="19" t="str">
        <f t="shared" si="169"/>
        <v>Werder Bremen</v>
      </c>
      <c r="AA222" s="19">
        <f>COUNTIFS(F4:F111,Z222,G4:G111,"&gt;=0")+COUNTIFS(I4:I111,Z222,H4:H111,"&gt;=0")</f>
        <v>10</v>
      </c>
      <c r="AB222" s="19">
        <f>COUNTIFS(F4:F111,Z222,B4:B111,3)+COUNTIFS(I4:I111,Z222,M4:M111,3)</f>
        <v>2</v>
      </c>
      <c r="AC222" s="19">
        <f>COUNTIFS(F4:F111,Z222,B4:B111,1)+COUNTIFS(I4:I111,Z222,M4:M111,1)</f>
        <v>5</v>
      </c>
      <c r="AD222" s="19">
        <f>COUNTIFS(F4:F111,Z222,B4:B111,0)+COUNTIFS(I4:I111,Z222,M4:M111,0)</f>
        <v>3</v>
      </c>
      <c r="AE222" s="19">
        <f>SUMIF(F4:F111,Z222,G4:G111)+SUMIF(I4:I111,Z222,H4:H111)</f>
        <v>17</v>
      </c>
      <c r="AF222" s="19">
        <f>SUMIF(F4:F111,Z222,H4:H111)+SUMIF(I4:I111,Z222,G4:G111)</f>
        <v>21</v>
      </c>
      <c r="AG222" s="19">
        <f t="shared" si="172"/>
        <v>-4</v>
      </c>
      <c r="AH222" s="19">
        <f t="shared" si="173"/>
        <v>11</v>
      </c>
      <c r="AI222" s="19">
        <f t="shared" si="171"/>
        <v>10999.976999999999</v>
      </c>
      <c r="AJ222" s="2"/>
      <c r="AW222" s="7"/>
    </row>
    <row r="223" spans="1:49" x14ac:dyDescent="0.25">
      <c r="A223" s="1"/>
      <c r="B223" s="2" t="str">
        <f t="shared" si="160"/>
        <v/>
      </c>
      <c r="F223" s="154" t="s">
        <v>60</v>
      </c>
      <c r="G223" s="154"/>
      <c r="H223" s="154"/>
      <c r="I223" s="154"/>
      <c r="J223" s="6"/>
      <c r="M223" s="2" t="str">
        <f t="shared" ref="M223:M232" si="179">IF(H223="","",IF(H223&gt;G223,3,IF(H223=G223,1,0)))</f>
        <v/>
      </c>
      <c r="O223" s="2" t="str">
        <f t="shared" si="161"/>
        <v/>
      </c>
      <c r="P223" s="2" t="str">
        <f t="shared" si="162"/>
        <v/>
      </c>
      <c r="AW223" s="7"/>
    </row>
    <row r="224" spans="1:49" x14ac:dyDescent="0.25">
      <c r="A224" s="1"/>
      <c r="B224" s="2">
        <f t="shared" si="160"/>
        <v>3</v>
      </c>
      <c r="D224" s="61">
        <f t="shared" ref="D224:D232" si="180">IFERROR(VLOOKUP(F224,$V$405:$W$422,2,FALSE),"")</f>
        <v>5</v>
      </c>
      <c r="F224" s="9" t="s">
        <v>83</v>
      </c>
      <c r="G224" s="10">
        <v>4</v>
      </c>
      <c r="H224" s="10">
        <v>3</v>
      </c>
      <c r="I224" s="9" t="s">
        <v>80</v>
      </c>
      <c r="J224" s="6"/>
      <c r="K224" s="61">
        <f t="shared" ref="K224:K232" si="181">IFERROR(VLOOKUP(I224,$V$405:$W$422,2,FALSE),"")</f>
        <v>3</v>
      </c>
      <c r="M224" s="2">
        <f t="shared" si="179"/>
        <v>0</v>
      </c>
      <c r="O224" s="2" t="str">
        <f t="shared" si="161"/>
        <v>G</v>
      </c>
      <c r="P224" s="2" t="str">
        <f t="shared" si="162"/>
        <v>P</v>
      </c>
      <c r="S224" s="2" t="str">
        <f t="shared" ref="S224:S232" si="182">IF(M224&lt;&gt;"",F224&amp;I224,"")</f>
        <v>Bayer LeverkusenBorussia Dortmund</v>
      </c>
      <c r="T224" s="2" t="str">
        <f t="shared" ref="T224:T232" si="183">IF(S224&lt;&gt;"",G224&amp;"-"&amp;H224,"")</f>
        <v>4-3</v>
      </c>
      <c r="W224" s="18">
        <v>11</v>
      </c>
      <c r="Y224" s="19"/>
      <c r="Z224" s="19" t="s">
        <v>1</v>
      </c>
      <c r="AA224" s="19" t="s">
        <v>2</v>
      </c>
      <c r="AB224" s="19" t="s">
        <v>3</v>
      </c>
      <c r="AC224" s="19" t="s">
        <v>4</v>
      </c>
      <c r="AD224" s="19" t="s">
        <v>5</v>
      </c>
      <c r="AE224" s="19" t="s">
        <v>6</v>
      </c>
      <c r="AF224" s="19" t="s">
        <v>7</v>
      </c>
      <c r="AG224" s="19" t="s">
        <v>8</v>
      </c>
      <c r="AH224" s="19" t="s">
        <v>9</v>
      </c>
      <c r="AI224" s="19" t="s">
        <v>0</v>
      </c>
      <c r="AJ224" s="2"/>
      <c r="AW224" s="7"/>
    </row>
    <row r="225" spans="1:49" x14ac:dyDescent="0.25">
      <c r="A225" s="1"/>
      <c r="B225" s="2">
        <f t="shared" si="160"/>
        <v>1</v>
      </c>
      <c r="D225" s="61">
        <f t="shared" si="180"/>
        <v>1</v>
      </c>
      <c r="F225" s="9" t="s">
        <v>79</v>
      </c>
      <c r="G225" s="10">
        <v>0</v>
      </c>
      <c r="H225" s="10">
        <v>0</v>
      </c>
      <c r="I225" s="9" t="s">
        <v>81</v>
      </c>
      <c r="J225" s="6"/>
      <c r="K225" s="61">
        <f t="shared" si="181"/>
        <v>2</v>
      </c>
      <c r="M225" s="2">
        <f t="shared" si="179"/>
        <v>1</v>
      </c>
      <c r="O225" s="2" t="str">
        <f t="shared" si="161"/>
        <v>N</v>
      </c>
      <c r="P225" s="2" t="str">
        <f t="shared" si="162"/>
        <v>N</v>
      </c>
      <c r="S225" s="2" t="str">
        <f t="shared" si="182"/>
        <v>Bayern MünchenRB Leipzig</v>
      </c>
      <c r="T225" s="2" t="str">
        <f t="shared" si="183"/>
        <v>0-0</v>
      </c>
      <c r="V225" s="2" t="str">
        <f>CONCATENATE(Z225)</f>
        <v>1. FC Köln</v>
      </c>
      <c r="W225" s="2">
        <f t="shared" ref="W225:W242" si="184">Y225</f>
        <v>17</v>
      </c>
      <c r="Y225" s="19">
        <f>RANK(AI225,$AI$225:$AI$242,0)+COUNTIF($AI$224:AI224,AI225)</f>
        <v>17</v>
      </c>
      <c r="Z225" s="19" t="str">
        <f t="shared" ref="Z225:Z242" si="185">CONCATENATE(Z5)</f>
        <v>1. FC Köln</v>
      </c>
      <c r="AA225" s="19">
        <f>COUNTIFS(F4:F122,Z225,G4:G122,"&gt;=0")+COUNTIFS(I4:I122,Z225,H4:H122,"&gt;=0")</f>
        <v>11</v>
      </c>
      <c r="AB225" s="19">
        <f>COUNTIFS(F4:F122,Z225,B4:B122,3)+COUNTIFS(I4:I122,Z225,M4:M122,3)</f>
        <v>2</v>
      </c>
      <c r="AC225" s="19">
        <f>COUNTIFS(F4:F122,Z225,B4:B122,1)+COUNTIFS(I4:I122,Z225,M4:M122,1)</f>
        <v>1</v>
      </c>
      <c r="AD225" s="19">
        <f>COUNTIFS(F4:F122,Z225,B4:B122,0)+COUNTIFS(I4:I122,Z225,M4:M122,0)</f>
        <v>8</v>
      </c>
      <c r="AE225" s="19">
        <f>SUMIF(F4:F122,Z225,G4:G122)+SUMIF(I4:I122,Z225,H4:H122)</f>
        <v>10</v>
      </c>
      <c r="AF225" s="19">
        <f>SUMIF(F4:F122,Z225,H4:H122)+SUMIF(I4:I122,Z225,G4:G122)</f>
        <v>23</v>
      </c>
      <c r="AG225" s="19">
        <f>+AE225-AF225</f>
        <v>-13</v>
      </c>
      <c r="AH225" s="19">
        <f>(AB225*3)+AC225</f>
        <v>7</v>
      </c>
      <c r="AI225" s="19">
        <f>SUM(AH225*1000+(AG225)/100+(AE225)/1000)</f>
        <v>6999.88</v>
      </c>
      <c r="AJ225" s="2"/>
      <c r="AW225" s="7"/>
    </row>
    <row r="226" spans="1:49" x14ac:dyDescent="0.25">
      <c r="A226" s="1"/>
      <c r="B226" s="2">
        <f t="shared" si="160"/>
        <v>3</v>
      </c>
      <c r="D226" s="61">
        <f t="shared" si="180"/>
        <v>8</v>
      </c>
      <c r="F226" s="9" t="s">
        <v>91</v>
      </c>
      <c r="G226" s="10">
        <v>1</v>
      </c>
      <c r="H226" s="10">
        <v>0</v>
      </c>
      <c r="I226" s="9" t="s">
        <v>86</v>
      </c>
      <c r="J226" s="6"/>
      <c r="K226" s="61">
        <f t="shared" si="181"/>
        <v>7</v>
      </c>
      <c r="M226" s="2">
        <f t="shared" si="179"/>
        <v>0</v>
      </c>
      <c r="O226" s="2" t="str">
        <f t="shared" si="161"/>
        <v>G</v>
      </c>
      <c r="P226" s="2" t="str">
        <f t="shared" si="162"/>
        <v>P</v>
      </c>
      <c r="S226" s="2" t="str">
        <f t="shared" si="182"/>
        <v>SC Freiburg1899 Hoffenheim</v>
      </c>
      <c r="T226" s="2" t="str">
        <f t="shared" si="183"/>
        <v>1-0</v>
      </c>
      <c r="V226" s="2" t="str">
        <f t="shared" ref="V226:V242" si="186">CONCATENATE(Z226)</f>
        <v>1. FC Union Berlin</v>
      </c>
      <c r="W226" s="2">
        <f t="shared" si="184"/>
        <v>11</v>
      </c>
      <c r="Y226" s="19">
        <f>RANK(AI226,$AI$225:$AI$242,0)+COUNTIF($AI$224:AI225,AI226)</f>
        <v>11</v>
      </c>
      <c r="Z226" s="19" t="str">
        <f t="shared" si="185"/>
        <v>1. FC Union Berlin</v>
      </c>
      <c r="AA226" s="19">
        <f>COUNTIFS(F4:F122,Z226,G4:G122,"&gt;=0")+COUNTIFS(I4:I122,Z226,H4:H122,"&gt;=0")</f>
        <v>11</v>
      </c>
      <c r="AB226" s="19">
        <f>COUNTIFS(F4:F122,Z226,B4:B122,3)+COUNTIFS(I4:I122,Z226,M4:M122,3)</f>
        <v>4</v>
      </c>
      <c r="AC226" s="19">
        <f>COUNTIFS(F4:F122,Z226,B4:B122,1)+COUNTIFS(I4:I122,Z226,M4:M122,1)</f>
        <v>1</v>
      </c>
      <c r="AD226" s="19">
        <f>COUNTIFS(F4:F122,Z226,B4:B122,0)+COUNTIFS(I4:I122,Z226,M4:M122,0)</f>
        <v>6</v>
      </c>
      <c r="AE226" s="19">
        <f>SUMIF(F4:F122,Z226,G4:G122)+SUMIF(I4:I122,Z226,H4:H122)</f>
        <v>13</v>
      </c>
      <c r="AF226" s="19">
        <f>SUMIF(F4:F122,Z226,H4:H122)+SUMIF(I4:I122,Z226,G4:G122)</f>
        <v>17</v>
      </c>
      <c r="AG226" s="19">
        <f>+AE226-AF226</f>
        <v>-4</v>
      </c>
      <c r="AH226" s="19">
        <f>(AB226*3)+AC226</f>
        <v>13</v>
      </c>
      <c r="AI226" s="19">
        <f t="shared" ref="AI226:AI242" si="187">SUM(AH226*1000+(AG226)/100+(AE226)/1000)</f>
        <v>12999.973</v>
      </c>
      <c r="AJ226" s="2"/>
      <c r="AW226" s="7"/>
    </row>
    <row r="227" spans="1:49" x14ac:dyDescent="0.25">
      <c r="A227" s="1"/>
      <c r="B227" s="2">
        <f t="shared" si="160"/>
        <v>1</v>
      </c>
      <c r="D227" s="61">
        <f t="shared" si="180"/>
        <v>9</v>
      </c>
      <c r="F227" s="9" t="s">
        <v>85</v>
      </c>
      <c r="G227" s="10">
        <v>1</v>
      </c>
      <c r="H227" s="10">
        <v>1</v>
      </c>
      <c r="I227" s="9" t="s">
        <v>89</v>
      </c>
      <c r="J227" s="6"/>
      <c r="K227" s="61">
        <f t="shared" si="181"/>
        <v>17</v>
      </c>
      <c r="M227" s="2">
        <f t="shared" si="179"/>
        <v>1</v>
      </c>
      <c r="O227" s="2" t="str">
        <f t="shared" si="161"/>
        <v>N</v>
      </c>
      <c r="P227" s="2" t="str">
        <f t="shared" si="162"/>
        <v>N</v>
      </c>
      <c r="S227" s="2" t="str">
        <f t="shared" si="182"/>
        <v>VfL WolfsburgFortuna Düsseldorf</v>
      </c>
      <c r="T227" s="2" t="str">
        <f t="shared" si="183"/>
        <v>1-1</v>
      </c>
      <c r="V227" s="2" t="str">
        <f t="shared" si="186"/>
        <v>1. FSV Mainz 05</v>
      </c>
      <c r="W227" s="2">
        <f t="shared" si="184"/>
        <v>16</v>
      </c>
      <c r="Y227" s="19">
        <f>RANK(AI227,$AI$225:$AI$242,0)+COUNTIF($AI$224:AI226,AI227)</f>
        <v>16</v>
      </c>
      <c r="Z227" s="19" t="str">
        <f t="shared" si="185"/>
        <v>1. FSV Mainz 05</v>
      </c>
      <c r="AA227" s="19">
        <f>COUNTIFS(F4:F122,Z227,G4:G122,"&gt;=0")+COUNTIFS(I4:I122,Z227,H4:H122,"&gt;=0")</f>
        <v>11</v>
      </c>
      <c r="AB227" s="19">
        <f>COUNTIFS(F4:F122,Z227,B4:B122,3)+COUNTIFS(I4:I122,Z227,M4:M122,3)</f>
        <v>3</v>
      </c>
      <c r="AC227" s="19">
        <f>COUNTIFS(F4:F122,Z227,B4:B122,1)+COUNTIFS(I4:I122,Z227,M4:M122,1)</f>
        <v>0</v>
      </c>
      <c r="AD227" s="19">
        <f>COUNTIFS(F4:F122,Z227,B4:B122,0)+COUNTIFS(I4:I122,Z227,M4:M122,0)</f>
        <v>8</v>
      </c>
      <c r="AE227" s="19">
        <f>SUMIF(F4:F122,Z227,G4:G122)+SUMIF(I4:I122,Z227,H4:H122)</f>
        <v>12</v>
      </c>
      <c r="AF227" s="19">
        <f>SUMIF(F4:F122,Z227,H4:H122)+SUMIF(I4:I122,Z227,G4:G122)</f>
        <v>30</v>
      </c>
      <c r="AG227" s="19">
        <f>+AE227-AF227</f>
        <v>-18</v>
      </c>
      <c r="AH227" s="19">
        <f>(AB227*3)+AC227</f>
        <v>9</v>
      </c>
      <c r="AI227" s="19">
        <f t="shared" si="187"/>
        <v>8999.8320000000003</v>
      </c>
      <c r="AJ227" s="2"/>
      <c r="AW227" s="7"/>
    </row>
    <row r="228" spans="1:49" x14ac:dyDescent="0.25">
      <c r="A228" s="1"/>
      <c r="B228" s="2">
        <f t="shared" si="160"/>
        <v>0</v>
      </c>
      <c r="D228" s="61">
        <f t="shared" si="180"/>
        <v>13</v>
      </c>
      <c r="F228" s="9" t="s">
        <v>88</v>
      </c>
      <c r="G228" s="10">
        <v>1</v>
      </c>
      <c r="H228" s="10">
        <v>3</v>
      </c>
      <c r="I228" s="9" t="s">
        <v>90</v>
      </c>
      <c r="J228" s="6"/>
      <c r="K228" s="61">
        <f t="shared" si="181"/>
        <v>15</v>
      </c>
      <c r="M228" s="2">
        <f t="shared" si="179"/>
        <v>3</v>
      </c>
      <c r="O228" s="2" t="str">
        <f t="shared" si="161"/>
        <v>P</v>
      </c>
      <c r="P228" s="2" t="str">
        <f t="shared" si="162"/>
        <v>G</v>
      </c>
      <c r="S228" s="2" t="str">
        <f t="shared" si="182"/>
        <v>Hertha BSC1. FSV Mainz 05</v>
      </c>
      <c r="T228" s="2" t="str">
        <f t="shared" si="183"/>
        <v>1-3</v>
      </c>
      <c r="V228" s="2" t="str">
        <f t="shared" si="186"/>
        <v>1899 Hoffenheim</v>
      </c>
      <c r="W228" s="2">
        <f t="shared" si="184"/>
        <v>5</v>
      </c>
      <c r="Y228" s="19">
        <f>RANK(AI228,$AI$225:$AI$242,0)+COUNTIF($AI$224:AI227,AI228)</f>
        <v>5</v>
      </c>
      <c r="Z228" s="19" t="str">
        <f t="shared" si="185"/>
        <v>1899 Hoffenheim</v>
      </c>
      <c r="AA228" s="19">
        <f>COUNTIFS(F4:F122,Z228,G4:G122,"&gt;=0")+COUNTIFS(I4:I122,Z228,H4:H122,"&gt;=0")</f>
        <v>11</v>
      </c>
      <c r="AB228" s="19">
        <f>COUNTIFS(F4:F122,Z228,B4:B122,3)+COUNTIFS(I4:I122,Z228,M4:M122,3)</f>
        <v>6</v>
      </c>
      <c r="AC228" s="19">
        <f>COUNTIFS(F4:F122,Z228,B4:B122,1)+COUNTIFS(I4:I122,Z228,M4:M122,1)</f>
        <v>2</v>
      </c>
      <c r="AD228" s="19">
        <f>COUNTIFS(F4:F122,Z228,B4:B122,0)+COUNTIFS(I4:I122,Z228,M4:M122,0)</f>
        <v>3</v>
      </c>
      <c r="AE228" s="19">
        <f>SUMIF(F4:F122,Z228,G4:G122)+SUMIF(I4:I122,Z228,H4:H122)</f>
        <v>16</v>
      </c>
      <c r="AF228" s="19">
        <f>SUMIF(F4:F122,Z228,H4:H122)+SUMIF(I4:I122,Z228,G4:G122)</f>
        <v>14</v>
      </c>
      <c r="AG228" s="19">
        <f t="shared" ref="AG228:AG242" si="188">+AE228-AF228</f>
        <v>2</v>
      </c>
      <c r="AH228" s="19">
        <f>(AB228*3)+AC228</f>
        <v>20</v>
      </c>
      <c r="AI228" s="19">
        <f t="shared" si="187"/>
        <v>20000.036</v>
      </c>
      <c r="AJ228" s="2"/>
      <c r="AW228" s="7"/>
    </row>
    <row r="229" spans="1:49" x14ac:dyDescent="0.25">
      <c r="A229" s="1"/>
      <c r="B229" s="2">
        <f t="shared" si="160"/>
        <v>3</v>
      </c>
      <c r="D229" s="61">
        <f t="shared" si="180"/>
        <v>11</v>
      </c>
      <c r="F229" s="9" t="s">
        <v>84</v>
      </c>
      <c r="G229" s="10">
        <v>5</v>
      </c>
      <c r="H229" s="10">
        <v>0</v>
      </c>
      <c r="I229" s="9" t="s">
        <v>92</v>
      </c>
      <c r="J229" s="6"/>
      <c r="K229" s="61">
        <f t="shared" si="181"/>
        <v>10</v>
      </c>
      <c r="M229" s="2">
        <f t="shared" si="179"/>
        <v>0</v>
      </c>
      <c r="O229" s="2" t="str">
        <f t="shared" si="161"/>
        <v>G</v>
      </c>
      <c r="P229" s="2" t="str">
        <f t="shared" si="162"/>
        <v>P</v>
      </c>
      <c r="S229" s="2" t="str">
        <f t="shared" si="182"/>
        <v>Eintracht FrankfurtFC Augsburg</v>
      </c>
      <c r="T229" s="2" t="str">
        <f t="shared" si="183"/>
        <v>5-0</v>
      </c>
      <c r="V229" s="2" t="str">
        <f t="shared" si="186"/>
        <v>Bayer Leverkusen</v>
      </c>
      <c r="W229" s="2">
        <f t="shared" si="184"/>
        <v>8</v>
      </c>
      <c r="Y229" s="19">
        <f>RANK(AI229,$AI$225:$AI$242,0)+COUNTIF($AI$224:AI228,AI229)</f>
        <v>8</v>
      </c>
      <c r="Z229" s="19" t="str">
        <f t="shared" si="185"/>
        <v>Bayer Leverkusen</v>
      </c>
      <c r="AA229" s="19">
        <f>COUNTIFS(F4:F122,Z229,G4:G122,"&gt;=0")+COUNTIFS(I4:I122,Z229,H4:H122,"&gt;=0")</f>
        <v>11</v>
      </c>
      <c r="AB229" s="19">
        <f>COUNTIFS(F4:F122,Z229,B4:B122,3)+COUNTIFS(I4:I122,Z229,M4:M122,3)</f>
        <v>5</v>
      </c>
      <c r="AC229" s="19">
        <f>COUNTIFS(F4:F122,Z229,B4:B122,1)+COUNTIFS(I4:I122,Z229,M4:M122,1)</f>
        <v>3</v>
      </c>
      <c r="AD229" s="19">
        <f>COUNTIFS(F4:F122,Z229,B4:B122,0)+COUNTIFS(I4:I122,Z229,M4:M122,0)</f>
        <v>3</v>
      </c>
      <c r="AE229" s="19">
        <f>SUMIF(F4:F122,Z229,G4:G122)+SUMIF(I4:I122,Z229,H4:H122)</f>
        <v>17</v>
      </c>
      <c r="AF229" s="19">
        <f>SUMIF(F4:F122,Z229,H4:H122)+SUMIF(I4:I122,Z229,G4:G122)</f>
        <v>15</v>
      </c>
      <c r="AG229" s="19">
        <f t="shared" si="188"/>
        <v>2</v>
      </c>
      <c r="AH229" s="19">
        <f>(AB229*3)+AC229</f>
        <v>18</v>
      </c>
      <c r="AI229" s="19">
        <f t="shared" si="187"/>
        <v>18000.037</v>
      </c>
      <c r="AJ229" s="2"/>
      <c r="AW229" s="7"/>
    </row>
    <row r="230" spans="1:49" x14ac:dyDescent="0.25">
      <c r="A230" s="1"/>
      <c r="B230" s="2" t="str">
        <f t="shared" si="160"/>
        <v/>
      </c>
      <c r="D230" s="61">
        <f t="shared" si="180"/>
        <v>4</v>
      </c>
      <c r="F230" s="9" t="s">
        <v>82</v>
      </c>
      <c r="G230" s="10"/>
      <c r="H230" s="10"/>
      <c r="I230" s="9" t="s">
        <v>161</v>
      </c>
      <c r="J230" s="6"/>
      <c r="K230" s="61">
        <f t="shared" si="181"/>
        <v>14</v>
      </c>
      <c r="M230" s="2" t="str">
        <f t="shared" si="179"/>
        <v/>
      </c>
      <c r="O230" s="2" t="str">
        <f t="shared" si="161"/>
        <v/>
      </c>
      <c r="P230" s="2" t="str">
        <f t="shared" si="162"/>
        <v/>
      </c>
      <c r="S230" s="2" t="str">
        <f t="shared" si="182"/>
        <v/>
      </c>
      <c r="T230" s="2" t="str">
        <f t="shared" si="183"/>
        <v/>
      </c>
      <c r="V230" s="2" t="str">
        <f t="shared" si="186"/>
        <v>Bayern München</v>
      </c>
      <c r="W230" s="2">
        <f t="shared" si="184"/>
        <v>3</v>
      </c>
      <c r="Y230" s="19">
        <f>RANK(AI230,$AI$225:$AI$242,0)+COUNTIF($AI$224:AI229,AI230)</f>
        <v>3</v>
      </c>
      <c r="Z230" s="19" t="str">
        <f t="shared" si="185"/>
        <v>Bayern München</v>
      </c>
      <c r="AA230" s="19">
        <f>COUNTIFS(F4:F122,Z230,G4:G122,"&gt;=0")+COUNTIFS(I4:I122,Z230,H4:H122,"&gt;=0")</f>
        <v>11</v>
      </c>
      <c r="AB230" s="19">
        <f>COUNTIFS(F4:F122,Z230,B4:B122,3)+COUNTIFS(I4:I122,Z230,M4:M122,3)</f>
        <v>6</v>
      </c>
      <c r="AC230" s="19">
        <f>COUNTIFS(F4:F122,Z230,B4:B122,1)+COUNTIFS(I4:I122,Z230,M4:M122,1)</f>
        <v>3</v>
      </c>
      <c r="AD230" s="19">
        <f>COUNTIFS(F4:F122,Z230,B4:B122,0)+COUNTIFS(I4:I122,Z230,M4:M122,0)</f>
        <v>2</v>
      </c>
      <c r="AE230" s="19">
        <f>SUMIF(F4:F122,Z230,G4:G122)+SUMIF(I4:I122,Z230,H4:H122)</f>
        <v>29</v>
      </c>
      <c r="AF230" s="19">
        <f>SUMIF(F4:F122,Z230,H4:H122)+SUMIF(I4:I122,Z230,G4:G122)</f>
        <v>16</v>
      </c>
      <c r="AG230" s="19">
        <f t="shared" si="188"/>
        <v>13</v>
      </c>
      <c r="AH230" s="19">
        <f t="shared" ref="AH230:AH242" si="189">(AB230*3)+AC230</f>
        <v>21</v>
      </c>
      <c r="AI230" s="19">
        <f t="shared" si="187"/>
        <v>21000.159</v>
      </c>
      <c r="AJ230" s="2"/>
      <c r="AW230" s="7"/>
    </row>
    <row r="231" spans="1:49" x14ac:dyDescent="0.25">
      <c r="A231" s="1"/>
      <c r="B231" s="2">
        <f t="shared" si="160"/>
        <v>1</v>
      </c>
      <c r="D231" s="61">
        <f t="shared" si="180"/>
        <v>6</v>
      </c>
      <c r="F231" s="9" t="s">
        <v>93</v>
      </c>
      <c r="G231" s="10">
        <v>1</v>
      </c>
      <c r="H231" s="10">
        <v>1</v>
      </c>
      <c r="I231" s="9" t="s">
        <v>148</v>
      </c>
      <c r="J231" s="6"/>
      <c r="K231" s="61">
        <f t="shared" si="181"/>
        <v>18</v>
      </c>
      <c r="M231" s="2">
        <f t="shared" si="179"/>
        <v>1</v>
      </c>
      <c r="O231" s="2" t="str">
        <f t="shared" si="161"/>
        <v>N</v>
      </c>
      <c r="P231" s="2" t="str">
        <f t="shared" si="162"/>
        <v>N</v>
      </c>
      <c r="S231" s="2" t="str">
        <f t="shared" si="182"/>
        <v>FC Schalke 04SC Paderborn 07</v>
      </c>
      <c r="T231" s="2" t="str">
        <f t="shared" si="183"/>
        <v>1-1</v>
      </c>
      <c r="V231" s="2" t="str">
        <f t="shared" si="186"/>
        <v>Bor. Mönchengladbach</v>
      </c>
      <c r="W231" s="2">
        <f t="shared" si="184"/>
        <v>1</v>
      </c>
      <c r="Y231" s="19">
        <f>RANK(AI231,$AI$225:$AI$242,0)+COUNTIF($AI$224:AI230,AI231)</f>
        <v>1</v>
      </c>
      <c r="Z231" s="19" t="str">
        <f t="shared" si="185"/>
        <v>Bor. Mönchengladbach</v>
      </c>
      <c r="AA231" s="19">
        <f>COUNTIFS(F4:F122,Z231,G4:G122,"&gt;=0")+COUNTIFS(I4:I122,Z231,H4:H122,"&gt;=0")</f>
        <v>11</v>
      </c>
      <c r="AB231" s="19">
        <f>COUNTIFS(F4:F122,Z231,B4:B122,3)+COUNTIFS(I4:I122,Z231,M4:M122,3)</f>
        <v>8</v>
      </c>
      <c r="AC231" s="19">
        <f>COUNTIFS(F4:F122,Z231,B4:B122,1)+COUNTIFS(I4:I122,Z231,M4:M122,1)</f>
        <v>1</v>
      </c>
      <c r="AD231" s="19">
        <f>COUNTIFS(F4:F122,Z231,B4:B122,0)+COUNTIFS(I4:I122,Z231,M4:M122,0)</f>
        <v>2</v>
      </c>
      <c r="AE231" s="19">
        <f>SUMIF(F4:F122,Z231,G4:G122)+SUMIF(I4:I122,Z231,H4:H122)</f>
        <v>24</v>
      </c>
      <c r="AF231" s="19">
        <f>SUMIF(F4:F122,Z231,H4:H122)+SUMIF(I4:I122,Z231,G4:G122)</f>
        <v>11</v>
      </c>
      <c r="AG231" s="19">
        <f t="shared" si="188"/>
        <v>13</v>
      </c>
      <c r="AH231" s="19">
        <f t="shared" si="189"/>
        <v>25</v>
      </c>
      <c r="AI231" s="19">
        <f t="shared" si="187"/>
        <v>25000.154000000002</v>
      </c>
      <c r="AJ231" s="2"/>
      <c r="AW231" s="7"/>
    </row>
    <row r="232" spans="1:49" x14ac:dyDescent="0.25">
      <c r="A232" s="1"/>
      <c r="B232" s="2">
        <f t="shared" si="160"/>
        <v>0</v>
      </c>
      <c r="D232" s="61">
        <f t="shared" si="180"/>
        <v>16</v>
      </c>
      <c r="F232" s="9" t="s">
        <v>87</v>
      </c>
      <c r="G232" s="10">
        <v>0</v>
      </c>
      <c r="H232" s="10">
        <v>2</v>
      </c>
      <c r="I232" s="9" t="s">
        <v>162</v>
      </c>
      <c r="J232" s="6"/>
      <c r="K232" s="61">
        <f t="shared" si="181"/>
        <v>12</v>
      </c>
      <c r="M232" s="2">
        <f t="shared" si="179"/>
        <v>3</v>
      </c>
      <c r="O232" s="2" t="str">
        <f t="shared" si="161"/>
        <v>P</v>
      </c>
      <c r="P232" s="2" t="str">
        <f t="shared" si="162"/>
        <v>G</v>
      </c>
      <c r="S232" s="2" t="str">
        <f t="shared" si="182"/>
        <v>Werder Bremen1. FC Union Berlin</v>
      </c>
      <c r="T232" s="2" t="str">
        <f t="shared" si="183"/>
        <v>0-2</v>
      </c>
      <c r="V232" s="2" t="str">
        <f t="shared" si="186"/>
        <v>Borussia Dortmund</v>
      </c>
      <c r="W232" s="2">
        <f t="shared" si="184"/>
        <v>6</v>
      </c>
      <c r="Y232" s="19">
        <f>RANK(AI232,$AI$225:$AI$242,0)+COUNTIF($AI$224:AI231,AI232)</f>
        <v>6</v>
      </c>
      <c r="Z232" s="19" t="str">
        <f t="shared" si="185"/>
        <v>Borussia Dortmund</v>
      </c>
      <c r="AA232" s="19">
        <f>COUNTIFS(F4:F122,Z232,G4:G122,"&gt;=0")+COUNTIFS(I4:I122,Z232,H4:H122,"&gt;=0")</f>
        <v>11</v>
      </c>
      <c r="AB232" s="19">
        <f>COUNTIFS(F4:F122,Z232,B4:B122,3)+COUNTIFS(I4:I122,Z232,M4:M122,3)</f>
        <v>5</v>
      </c>
      <c r="AC232" s="19">
        <f>COUNTIFS(F4:F122,Z232,B4:B122,1)+COUNTIFS(I4:I122,Z232,M4:M122,1)</f>
        <v>4</v>
      </c>
      <c r="AD232" s="19">
        <f>COUNTIFS(F4:F122,Z232,B4:B122,0)+COUNTIFS(I4:I122,Z232,M4:M122,0)</f>
        <v>2</v>
      </c>
      <c r="AE232" s="19">
        <f>SUMIF(F4:F122,Z232,G4:G122)+SUMIF(I4:I122,Z232,H4:H122)</f>
        <v>23</v>
      </c>
      <c r="AF232" s="19">
        <f>SUMIF(F4:F122,Z232,H4:H122)+SUMIF(I4:I122,Z232,G4:G122)</f>
        <v>15</v>
      </c>
      <c r="AG232" s="19">
        <f t="shared" si="188"/>
        <v>8</v>
      </c>
      <c r="AH232" s="19">
        <f t="shared" si="189"/>
        <v>19</v>
      </c>
      <c r="AI232" s="19">
        <f t="shared" si="187"/>
        <v>19000.103000000003</v>
      </c>
      <c r="AJ232" s="2"/>
      <c r="AW232" s="7"/>
    </row>
    <row r="233" spans="1:49" x14ac:dyDescent="0.25">
      <c r="A233" s="1"/>
      <c r="F233" s="107"/>
      <c r="G233" s="108"/>
      <c r="H233" s="108"/>
      <c r="I233" s="107"/>
      <c r="J233" s="6"/>
      <c r="O233" s="2" t="str">
        <f t="shared" si="161"/>
        <v/>
      </c>
      <c r="P233" s="2" t="str">
        <f t="shared" si="162"/>
        <v/>
      </c>
      <c r="V233" s="2" t="str">
        <f t="shared" si="186"/>
        <v>Eintracht Frankfurt</v>
      </c>
      <c r="W233" s="2">
        <f t="shared" si="184"/>
        <v>9</v>
      </c>
      <c r="Y233" s="19">
        <f>RANK(AI233,$AI$225:$AI$242,0)+COUNTIF($AI$224:AI232,AI233)</f>
        <v>9</v>
      </c>
      <c r="Z233" s="19" t="str">
        <f t="shared" si="185"/>
        <v>Eintracht Frankfurt</v>
      </c>
      <c r="AA233" s="19">
        <f>COUNTIFS(F4:F122,Z233,G4:G122,"&gt;=0")+COUNTIFS(I4:I122,Z233,H4:H122,"&gt;=0")</f>
        <v>11</v>
      </c>
      <c r="AB233" s="19">
        <f>COUNTIFS(F4:F122,Z233,B4:B122,3)+COUNTIFS(I4:I122,Z233,M4:M122,3)</f>
        <v>5</v>
      </c>
      <c r="AC233" s="19">
        <f>COUNTIFS(F4:F122,Z233,B4:B122,1)+COUNTIFS(I4:I122,Z233,M4:M122,1)</f>
        <v>2</v>
      </c>
      <c r="AD233" s="19">
        <f>COUNTIFS(F4:F122,Z233,B4:B122,0)+COUNTIFS(I4:I122,Z233,M4:M122,0)</f>
        <v>4</v>
      </c>
      <c r="AE233" s="19">
        <f>SUMIF(F4:F122,Z233,G4:G122)+SUMIF(I4:I122,Z233,H4:H122)</f>
        <v>21</v>
      </c>
      <c r="AF233" s="19">
        <f>SUMIF(F4:F122,Z233,H4:H122)+SUMIF(I4:I122,Z233,G4:G122)</f>
        <v>16</v>
      </c>
      <c r="AG233" s="19">
        <f t="shared" si="188"/>
        <v>5</v>
      </c>
      <c r="AH233" s="19">
        <f t="shared" si="189"/>
        <v>17</v>
      </c>
      <c r="AI233" s="19">
        <f t="shared" si="187"/>
        <v>17000.071</v>
      </c>
      <c r="AJ233" s="2"/>
      <c r="AW233" s="7"/>
    </row>
    <row r="234" spans="1:49" x14ac:dyDescent="0.25">
      <c r="A234" s="1"/>
      <c r="B234" s="2" t="str">
        <f t="shared" si="160"/>
        <v/>
      </c>
      <c r="F234" s="154" t="s">
        <v>61</v>
      </c>
      <c r="G234" s="154"/>
      <c r="H234" s="154"/>
      <c r="I234" s="154"/>
      <c r="J234" s="6"/>
      <c r="M234" s="2" t="str">
        <f t="shared" ref="M234:M243" si="190">IF(H234="","",IF(H234&gt;G234,3,IF(H234=G234,1,0)))</f>
        <v/>
      </c>
      <c r="O234" s="2" t="str">
        <f t="shared" si="161"/>
        <v/>
      </c>
      <c r="P234" s="2" t="str">
        <f t="shared" si="162"/>
        <v/>
      </c>
      <c r="V234" s="2" t="str">
        <f t="shared" si="186"/>
        <v>FC Augsburg</v>
      </c>
      <c r="W234" s="2">
        <f t="shared" si="184"/>
        <v>15</v>
      </c>
      <c r="Y234" s="19">
        <f>RANK(AI234,$AI$225:$AI$242,0)+COUNTIF($AI$224:AI233,AI234)</f>
        <v>15</v>
      </c>
      <c r="Z234" s="19" t="str">
        <f t="shared" si="185"/>
        <v>FC Augsburg</v>
      </c>
      <c r="AA234" s="19">
        <f>COUNTIFS(F4:F122,Z234,G4:G122,"&gt;=0")+COUNTIFS(I4:I122,Z234,H4:H122,"&gt;=0")</f>
        <v>11</v>
      </c>
      <c r="AB234" s="19">
        <f>COUNTIFS(F4:F122,Z234,B4:B122,3)+COUNTIFS(I4:I122,Z234,M4:M122,3)</f>
        <v>2</v>
      </c>
      <c r="AC234" s="19">
        <f>COUNTIFS(F4:F122,Z234,B4:B122,1)+COUNTIFS(I4:I122,Z234,M4:M122,1)</f>
        <v>4</v>
      </c>
      <c r="AD234" s="19">
        <f>COUNTIFS(F4:F122,Z234,B4:B122,0)+COUNTIFS(I4:I122,Z234,M4:M122,0)</f>
        <v>5</v>
      </c>
      <c r="AE234" s="19">
        <f>SUMIF(F4:F122,Z234,G4:G122)+SUMIF(I4:I122,Z234,H4:H122)</f>
        <v>13</v>
      </c>
      <c r="AF234" s="19">
        <f>SUMIF(F4:F122,Z234,H4:H122)+SUMIF(I4:I122,Z234,G4:G122)</f>
        <v>24</v>
      </c>
      <c r="AG234" s="19">
        <f t="shared" si="188"/>
        <v>-11</v>
      </c>
      <c r="AH234" s="19">
        <f t="shared" si="189"/>
        <v>10</v>
      </c>
      <c r="AI234" s="19">
        <f t="shared" si="187"/>
        <v>9999.9030000000002</v>
      </c>
      <c r="AJ234" s="2"/>
      <c r="AW234" s="7"/>
    </row>
    <row r="235" spans="1:49" x14ac:dyDescent="0.25">
      <c r="A235" s="1"/>
      <c r="B235" s="2">
        <f t="shared" si="160"/>
        <v>0</v>
      </c>
      <c r="D235" s="61">
        <f t="shared" ref="D235:D243" si="191">IFERROR(VLOOKUP(F235,$V$425:$W$442,2,FALSE),"")</f>
        <v>13</v>
      </c>
      <c r="F235" s="9" t="s">
        <v>161</v>
      </c>
      <c r="G235" s="10">
        <v>1</v>
      </c>
      <c r="H235" s="10">
        <v>4</v>
      </c>
      <c r="I235" s="9" t="s">
        <v>79</v>
      </c>
      <c r="J235" s="6"/>
      <c r="K235" s="61">
        <f t="shared" ref="K235:K243" si="192">IFERROR(VLOOKUP(I235,$V$425:$W$442,2,FALSE),"")</f>
        <v>1</v>
      </c>
      <c r="M235" s="2">
        <f t="shared" si="190"/>
        <v>3</v>
      </c>
      <c r="O235" s="2" t="str">
        <f t="shared" si="161"/>
        <v>P</v>
      </c>
      <c r="P235" s="2" t="str">
        <f t="shared" si="162"/>
        <v>G</v>
      </c>
      <c r="S235" s="2" t="str">
        <f t="shared" ref="S235:S243" si="193">IF(M235&lt;&gt;"",F235&amp;I235,"")</f>
        <v>1. FC KölnBayern München</v>
      </c>
      <c r="T235" s="2" t="str">
        <f t="shared" ref="T235:T243" si="194">IF(S235&lt;&gt;"",G235&amp;"-"&amp;H235,"")</f>
        <v>1-4</v>
      </c>
      <c r="V235" s="2" t="str">
        <f t="shared" si="186"/>
        <v>FC Schalke 04</v>
      </c>
      <c r="W235" s="2">
        <f t="shared" si="184"/>
        <v>7</v>
      </c>
      <c r="Y235" s="19">
        <f>RANK(AI235,$AI$225:$AI$242,0)+COUNTIF($AI$224:AI234,AI235)</f>
        <v>7</v>
      </c>
      <c r="Z235" s="19" t="str">
        <f t="shared" si="185"/>
        <v>FC Schalke 04</v>
      </c>
      <c r="AA235" s="19">
        <f>COUNTIFS(F4:F122,Z235,G4:G122,"&gt;=0")+COUNTIFS(I4:I122,Z235,H4:H122,"&gt;=0")</f>
        <v>11</v>
      </c>
      <c r="AB235" s="19">
        <f>COUNTIFS(F4:F122,Z235,B4:B122,3)+COUNTIFS(I4:I122,Z235,M4:M122,3)</f>
        <v>5</v>
      </c>
      <c r="AC235" s="19">
        <f>COUNTIFS(F4:F122,Z235,B4:B122,1)+COUNTIFS(I4:I122,Z235,M4:M122,1)</f>
        <v>4</v>
      </c>
      <c r="AD235" s="19">
        <f>COUNTIFS(F4:F122,Z235,B4:B122,0)+COUNTIFS(I4:I122,Z235,M4:M122,0)</f>
        <v>2</v>
      </c>
      <c r="AE235" s="19">
        <f>SUMIF(F4:F122,Z235,G4:G122)+SUMIF(I4:I122,Z235,H4:H122)</f>
        <v>20</v>
      </c>
      <c r="AF235" s="19">
        <f>SUMIF(F4:F122,Z235,H4:H122)+SUMIF(I4:I122,Z235,G4:G122)</f>
        <v>14</v>
      </c>
      <c r="AG235" s="19">
        <f t="shared" si="188"/>
        <v>6</v>
      </c>
      <c r="AH235" s="19">
        <f t="shared" si="189"/>
        <v>19</v>
      </c>
      <c r="AI235" s="19">
        <f t="shared" si="187"/>
        <v>19000.080000000002</v>
      </c>
      <c r="AJ235" s="2"/>
      <c r="AW235" s="7"/>
    </row>
    <row r="236" spans="1:49" x14ac:dyDescent="0.25">
      <c r="A236" s="1"/>
      <c r="B236" s="2">
        <f t="shared" si="160"/>
        <v>0</v>
      </c>
      <c r="D236" s="61">
        <f t="shared" si="191"/>
        <v>11</v>
      </c>
      <c r="F236" s="9" t="s">
        <v>162</v>
      </c>
      <c r="G236" s="10">
        <v>2</v>
      </c>
      <c r="H236" s="10">
        <v>3</v>
      </c>
      <c r="I236" s="9" t="s">
        <v>83</v>
      </c>
      <c r="J236" s="6"/>
      <c r="K236" s="61">
        <f t="shared" si="192"/>
        <v>5</v>
      </c>
      <c r="M236" s="2">
        <f t="shared" si="190"/>
        <v>3</v>
      </c>
      <c r="O236" s="2" t="str">
        <f t="shared" si="161"/>
        <v>P</v>
      </c>
      <c r="P236" s="2" t="str">
        <f t="shared" si="162"/>
        <v>G</v>
      </c>
      <c r="S236" s="2" t="str">
        <f t="shared" si="193"/>
        <v>1. FC Union BerlinBayer Leverkusen</v>
      </c>
      <c r="T236" s="2" t="str">
        <f t="shared" si="194"/>
        <v>2-3</v>
      </c>
      <c r="V236" s="2" t="str">
        <f t="shared" si="186"/>
        <v>Fortuna Düsseldorf</v>
      </c>
      <c r="W236" s="2">
        <f t="shared" si="184"/>
        <v>13</v>
      </c>
      <c r="Y236" s="19">
        <f>RANK(AI236,$AI$225:$AI$242,0)+COUNTIF($AI$224:AI235,AI236)</f>
        <v>13</v>
      </c>
      <c r="Z236" s="19" t="str">
        <f t="shared" si="185"/>
        <v>Fortuna Düsseldorf</v>
      </c>
      <c r="AA236" s="19">
        <f>COUNTIFS(F4:F122,Z236,G4:G122,"&gt;=0")+COUNTIFS(I4:I122,Z236,H4:H122,"&gt;=0")</f>
        <v>11</v>
      </c>
      <c r="AB236" s="19">
        <f>COUNTIFS(F4:F122,Z236,B4:B122,3)+COUNTIFS(I4:I122,Z236,M4:M122,3)</f>
        <v>3</v>
      </c>
      <c r="AC236" s="19">
        <f>COUNTIFS(F4:F122,Z236,B4:B122,1)+COUNTIFS(I4:I122,Z236,M4:M122,1)</f>
        <v>2</v>
      </c>
      <c r="AD236" s="19">
        <f>COUNTIFS(F4:F122,Z236,B4:B122,0)+COUNTIFS(I4:I122,Z236,M4:M122,0)</f>
        <v>6</v>
      </c>
      <c r="AE236" s="19">
        <f>SUMIF(F4:F122,Z236,G4:G122)+SUMIF(I4:I122,Z236,H4:H122)</f>
        <v>15</v>
      </c>
      <c r="AF236" s="19">
        <f>SUMIF(F4:F122,Z236,H4:H122)+SUMIF(I4:I122,Z236,G4:G122)</f>
        <v>19</v>
      </c>
      <c r="AG236" s="19">
        <f t="shared" si="188"/>
        <v>-4</v>
      </c>
      <c r="AH236" s="19">
        <f t="shared" si="189"/>
        <v>11</v>
      </c>
      <c r="AI236" s="19">
        <f t="shared" si="187"/>
        <v>10999.974999999999</v>
      </c>
      <c r="AJ236" s="2"/>
      <c r="AW236" s="7"/>
    </row>
    <row r="237" spans="1:49" x14ac:dyDescent="0.25">
      <c r="A237" s="1"/>
      <c r="B237" s="2">
        <f t="shared" si="160"/>
        <v>0</v>
      </c>
      <c r="D237" s="61">
        <f t="shared" si="191"/>
        <v>16</v>
      </c>
      <c r="F237" s="9" t="s">
        <v>89</v>
      </c>
      <c r="G237" s="10">
        <v>1</v>
      </c>
      <c r="H237" s="10">
        <v>4</v>
      </c>
      <c r="I237" s="9" t="s">
        <v>82</v>
      </c>
      <c r="J237" s="6"/>
      <c r="K237" s="61">
        <f t="shared" si="192"/>
        <v>4</v>
      </c>
      <c r="M237" s="2">
        <f t="shared" si="190"/>
        <v>3</v>
      </c>
      <c r="O237" s="2" t="str">
        <f t="shared" si="161"/>
        <v>P</v>
      </c>
      <c r="P237" s="2" t="str">
        <f t="shared" si="162"/>
        <v>G</v>
      </c>
      <c r="S237" s="2" t="str">
        <f t="shared" si="193"/>
        <v>Fortuna DüsseldorfBor. Mönchengladbach</v>
      </c>
      <c r="T237" s="2" t="str">
        <f t="shared" si="194"/>
        <v>1-4</v>
      </c>
      <c r="V237" s="2" t="str">
        <f t="shared" si="186"/>
        <v>Hertha BSC</v>
      </c>
      <c r="W237" s="2">
        <f t="shared" si="184"/>
        <v>12</v>
      </c>
      <c r="Y237" s="19">
        <f>RANK(AI237,$AI$225:$AI$242,0)+COUNTIF($AI$224:AI236,AI237)</f>
        <v>12</v>
      </c>
      <c r="Z237" s="19" t="str">
        <f t="shared" si="185"/>
        <v>Hertha BSC</v>
      </c>
      <c r="AA237" s="19">
        <f>COUNTIFS(F4:F122,Z237,G4:G122,"&gt;=0")+COUNTIFS(I4:I122,Z237,H4:H122,"&gt;=0")</f>
        <v>11</v>
      </c>
      <c r="AB237" s="19">
        <f>COUNTIFS(F4:F122,Z237,B4:B122,3)+COUNTIFS(I4:I122,Z237,M4:M122,3)</f>
        <v>3</v>
      </c>
      <c r="AC237" s="19">
        <f>COUNTIFS(F4:F122,Z237,B4:B122,1)+COUNTIFS(I4:I122,Z237,M4:M122,1)</f>
        <v>2</v>
      </c>
      <c r="AD237" s="19">
        <f>COUNTIFS(F4:F122,Z237,B4:B122,0)+COUNTIFS(I4:I122,Z237,M4:M122,0)</f>
        <v>6</v>
      </c>
      <c r="AE237" s="19">
        <f>SUMIF(F4:F122,Z237,G4:G122)+SUMIF(I4:I122,Z237,H4:H122)</f>
        <v>17</v>
      </c>
      <c r="AF237" s="19">
        <f>SUMIF(F4:F122,Z237,H4:H122)+SUMIF(I4:I122,Z237,G4:G122)</f>
        <v>21</v>
      </c>
      <c r="AG237" s="19">
        <f t="shared" si="188"/>
        <v>-4</v>
      </c>
      <c r="AH237" s="19">
        <f t="shared" si="189"/>
        <v>11</v>
      </c>
      <c r="AI237" s="19">
        <f t="shared" si="187"/>
        <v>10999.976999999999</v>
      </c>
      <c r="AJ237" s="2"/>
      <c r="AW237" s="7"/>
    </row>
    <row r="238" spans="1:49" x14ac:dyDescent="0.25">
      <c r="A238" s="1"/>
      <c r="B238" s="2">
        <f t="shared" si="160"/>
        <v>0</v>
      </c>
      <c r="D238" s="61">
        <f t="shared" si="191"/>
        <v>7</v>
      </c>
      <c r="F238" s="9" t="s">
        <v>86</v>
      </c>
      <c r="G238" s="10">
        <v>2</v>
      </c>
      <c r="H238" s="10">
        <v>3</v>
      </c>
      <c r="I238" s="9" t="s">
        <v>85</v>
      </c>
      <c r="J238" s="6"/>
      <c r="K238" s="61">
        <f t="shared" si="192"/>
        <v>10</v>
      </c>
      <c r="M238" s="2">
        <f t="shared" si="190"/>
        <v>3</v>
      </c>
      <c r="O238" s="2" t="str">
        <f t="shared" si="161"/>
        <v>P</v>
      </c>
      <c r="P238" s="2" t="str">
        <f t="shared" si="162"/>
        <v>G</v>
      </c>
      <c r="S238" s="2" t="str">
        <f t="shared" si="193"/>
        <v>1899 HoffenheimVfL Wolfsburg</v>
      </c>
      <c r="T238" s="2" t="str">
        <f t="shared" si="194"/>
        <v>2-3</v>
      </c>
      <c r="V238" s="2" t="str">
        <f t="shared" si="186"/>
        <v>RB Leipzig</v>
      </c>
      <c r="W238" s="2">
        <f t="shared" si="184"/>
        <v>2</v>
      </c>
      <c r="Y238" s="19">
        <f>RANK(AI238,$AI$225:$AI$242,0)+COUNTIF($AI$224:AI237,AI238)</f>
        <v>2</v>
      </c>
      <c r="Z238" s="19" t="str">
        <f t="shared" si="185"/>
        <v>RB Leipzig</v>
      </c>
      <c r="AA238" s="19">
        <f>COUNTIFS(F4:F122,Z238,G4:G122,"&gt;=0")+COUNTIFS(I4:I122,Z238,H4:H122,"&gt;=0")</f>
        <v>11</v>
      </c>
      <c r="AB238" s="19">
        <f>COUNTIFS(F4:F122,Z238,B4:B122,3)+COUNTIFS(I4:I122,Z238,M4:M122,3)</f>
        <v>6</v>
      </c>
      <c r="AC238" s="19">
        <f>COUNTIFS(F4:F122,Z238,B4:B122,1)+COUNTIFS(I4:I122,Z238,M4:M122,1)</f>
        <v>3</v>
      </c>
      <c r="AD238" s="19">
        <f>COUNTIFS(F4:F122,Z238,B4:B122,0)+COUNTIFS(I4:I122,Z238,M4:M122,0)</f>
        <v>2</v>
      </c>
      <c r="AE238" s="19">
        <f>SUMIF(F4:F122,Z238,G4:G122)+SUMIF(I4:I122,Z238,H4:H122)</f>
        <v>29</v>
      </c>
      <c r="AF238" s="19">
        <f>SUMIF(F4:F122,Z238,H4:H122)+SUMIF(I4:I122,Z238,G4:G122)</f>
        <v>12</v>
      </c>
      <c r="AG238" s="19">
        <f t="shared" si="188"/>
        <v>17</v>
      </c>
      <c r="AH238" s="19">
        <f t="shared" si="189"/>
        <v>21</v>
      </c>
      <c r="AI238" s="19">
        <f t="shared" si="187"/>
        <v>21000.198999999997</v>
      </c>
      <c r="AJ238" s="2"/>
      <c r="AW238" s="7"/>
    </row>
    <row r="239" spans="1:49" x14ac:dyDescent="0.25">
      <c r="A239" s="1"/>
      <c r="B239" s="2">
        <f t="shared" si="160"/>
        <v>3</v>
      </c>
      <c r="D239" s="61">
        <f t="shared" si="191"/>
        <v>3</v>
      </c>
      <c r="F239" s="9" t="s">
        <v>80</v>
      </c>
      <c r="G239" s="10">
        <v>4</v>
      </c>
      <c r="H239" s="10">
        <v>0</v>
      </c>
      <c r="I239" s="9" t="s">
        <v>84</v>
      </c>
      <c r="J239" s="6"/>
      <c r="K239" s="61">
        <f t="shared" si="192"/>
        <v>9</v>
      </c>
      <c r="M239" s="2">
        <f t="shared" si="190"/>
        <v>0</v>
      </c>
      <c r="O239" s="2" t="str">
        <f t="shared" si="161"/>
        <v>G</v>
      </c>
      <c r="P239" s="2" t="str">
        <f t="shared" si="162"/>
        <v>P</v>
      </c>
      <c r="S239" s="2" t="str">
        <f t="shared" si="193"/>
        <v>Borussia DortmundEintracht Frankfurt</v>
      </c>
      <c r="T239" s="2" t="str">
        <f t="shared" si="194"/>
        <v>4-0</v>
      </c>
      <c r="V239" s="2" t="str">
        <f t="shared" si="186"/>
        <v>SC Freiburg</v>
      </c>
      <c r="W239" s="2">
        <f t="shared" si="184"/>
        <v>4</v>
      </c>
      <c r="Y239" s="19">
        <f>RANK(AI239,$AI$225:$AI$242,0)+COUNTIF($AI$224:AI238,AI239)</f>
        <v>4</v>
      </c>
      <c r="Z239" s="19" t="str">
        <f t="shared" si="185"/>
        <v>SC Freiburg</v>
      </c>
      <c r="AA239" s="19">
        <f>COUNTIFS(F4:F122,Z239,G4:G122,"&gt;=0")+COUNTIFS(I4:I122,Z239,H4:H122,"&gt;=0")</f>
        <v>11</v>
      </c>
      <c r="AB239" s="19">
        <f>COUNTIFS(F4:F122,Z239,B4:B122,3)+COUNTIFS(I4:I122,Z239,M4:M122,3)</f>
        <v>6</v>
      </c>
      <c r="AC239" s="19">
        <f>COUNTIFS(F4:F122,Z239,B4:B122,1)+COUNTIFS(I4:I122,Z239,M4:M122,1)</f>
        <v>3</v>
      </c>
      <c r="AD239" s="19">
        <f>COUNTIFS(F4:F122,Z239,B4:B122,0)+COUNTIFS(I4:I122,Z239,M4:M122,0)</f>
        <v>2</v>
      </c>
      <c r="AE239" s="19">
        <f>SUMIF(F4:F122,Z239,G4:G122)+SUMIF(I4:I122,Z239,H4:H122)</f>
        <v>20</v>
      </c>
      <c r="AF239" s="19">
        <f>SUMIF(F4:F122,Z239,H4:H122)+SUMIF(I4:I122,Z239,G4:G122)</f>
        <v>12</v>
      </c>
      <c r="AG239" s="19">
        <f t="shared" si="188"/>
        <v>8</v>
      </c>
      <c r="AH239" s="19">
        <f t="shared" si="189"/>
        <v>21</v>
      </c>
      <c r="AI239" s="19">
        <f t="shared" si="187"/>
        <v>21000.100000000002</v>
      </c>
      <c r="AJ239" s="2"/>
      <c r="AW239" s="7"/>
    </row>
    <row r="240" spans="1:49" x14ac:dyDescent="0.25">
      <c r="A240" s="1"/>
      <c r="B240" s="2">
        <f t="shared" si="160"/>
        <v>3</v>
      </c>
      <c r="D240" s="61">
        <f t="shared" si="191"/>
        <v>2</v>
      </c>
      <c r="F240" s="9" t="s">
        <v>81</v>
      </c>
      <c r="G240" s="10">
        <v>3</v>
      </c>
      <c r="H240" s="10">
        <v>0</v>
      </c>
      <c r="I240" s="9" t="s">
        <v>87</v>
      </c>
      <c r="J240" s="6"/>
      <c r="K240" s="61">
        <f t="shared" si="192"/>
        <v>17</v>
      </c>
      <c r="M240" s="2">
        <f t="shared" si="190"/>
        <v>0</v>
      </c>
      <c r="O240" s="2" t="str">
        <f t="shared" si="161"/>
        <v>G</v>
      </c>
      <c r="P240" s="2" t="str">
        <f t="shared" si="162"/>
        <v>P</v>
      </c>
      <c r="S240" s="2" t="str">
        <f t="shared" si="193"/>
        <v>RB LeipzigWerder Bremen</v>
      </c>
      <c r="T240" s="2" t="str">
        <f t="shared" si="194"/>
        <v>3-0</v>
      </c>
      <c r="V240" s="2" t="str">
        <f t="shared" si="186"/>
        <v>SC Paderborn 07</v>
      </c>
      <c r="W240" s="2">
        <f t="shared" si="184"/>
        <v>18</v>
      </c>
      <c r="Y240" s="19">
        <f>RANK(AI240,$AI$225:$AI$242,0)+COUNTIF($AI$224:AI239,AI240)</f>
        <v>18</v>
      </c>
      <c r="Z240" s="19" t="str">
        <f t="shared" si="185"/>
        <v>SC Paderborn 07</v>
      </c>
      <c r="AA240" s="19">
        <f>COUNTIFS(F4:F122,Z240,G4:G122,"&gt;=0")+COUNTIFS(I4:I122,Z240,H4:H122,"&gt;=0")</f>
        <v>11</v>
      </c>
      <c r="AB240" s="19">
        <f>COUNTIFS(F4:F122,Z240,B4:B122,3)+COUNTIFS(I4:I122,Z240,M4:M122,3)</f>
        <v>1</v>
      </c>
      <c r="AC240" s="19">
        <f>COUNTIFS(F4:F122,Z240,B4:B122,1)+COUNTIFS(I4:I122,Z240,M4:M122,1)</f>
        <v>1</v>
      </c>
      <c r="AD240" s="19">
        <f>COUNTIFS(F4:F122,Z240,B4:B122,0)+COUNTIFS(I4:I122,Z240,M4:M122,0)</f>
        <v>9</v>
      </c>
      <c r="AE240" s="19">
        <f>SUMIF(F4:F122,Z240,G4:G122)+SUMIF(I4:I122,Z240,H4:H122)</f>
        <v>11</v>
      </c>
      <c r="AF240" s="19">
        <f>SUMIF(F4:F122,Z240,H4:H122)+SUMIF(I4:I122,Z240,G4:G122)</f>
        <v>26</v>
      </c>
      <c r="AG240" s="19">
        <f t="shared" si="188"/>
        <v>-15</v>
      </c>
      <c r="AH240" s="19">
        <f t="shared" si="189"/>
        <v>4</v>
      </c>
      <c r="AI240" s="19">
        <f t="shared" si="187"/>
        <v>3999.8609999999999</v>
      </c>
      <c r="AJ240" s="2"/>
      <c r="AW240" s="7"/>
    </row>
    <row r="241" spans="1:49" x14ac:dyDescent="0.25">
      <c r="A241" s="1"/>
      <c r="B241" s="2">
        <f t="shared" si="160"/>
        <v>0</v>
      </c>
      <c r="D241" s="61">
        <f t="shared" si="191"/>
        <v>18</v>
      </c>
      <c r="F241" s="9" t="s">
        <v>148</v>
      </c>
      <c r="G241" s="10">
        <v>1</v>
      </c>
      <c r="H241" s="10">
        <v>2</v>
      </c>
      <c r="I241" s="9" t="s">
        <v>88</v>
      </c>
      <c r="J241" s="6"/>
      <c r="K241" s="61">
        <f t="shared" si="192"/>
        <v>14</v>
      </c>
      <c r="M241" s="2">
        <f t="shared" si="190"/>
        <v>3</v>
      </c>
      <c r="O241" s="2" t="str">
        <f t="shared" si="161"/>
        <v>P</v>
      </c>
      <c r="P241" s="2" t="str">
        <f t="shared" si="162"/>
        <v>G</v>
      </c>
      <c r="S241" s="2" t="str">
        <f t="shared" si="193"/>
        <v>SC Paderborn 07Hertha BSC</v>
      </c>
      <c r="T241" s="2" t="str">
        <f t="shared" si="194"/>
        <v>1-2</v>
      </c>
      <c r="V241" s="2" t="str">
        <f t="shared" si="186"/>
        <v>VfL Wolfsburg</v>
      </c>
      <c r="W241" s="2">
        <f t="shared" si="184"/>
        <v>10</v>
      </c>
      <c r="Y241" s="19">
        <f>RANK(AI241,$AI$225:$AI$242,0)+COUNTIF($AI$224:AI240,AI241)</f>
        <v>10</v>
      </c>
      <c r="Z241" s="19" t="str">
        <f t="shared" si="185"/>
        <v>VfL Wolfsburg</v>
      </c>
      <c r="AA241" s="19">
        <f>COUNTIFS(F4:F122,Z241,G4:G122,"&gt;=0")+COUNTIFS(I4:I122,Z241,H4:H122,"&gt;=0")</f>
        <v>11</v>
      </c>
      <c r="AB241" s="19">
        <f>COUNTIFS(F4:F122,Z241,B4:B122,3)+COUNTIFS(I4:I122,Z241,M4:M122,3)</f>
        <v>4</v>
      </c>
      <c r="AC241" s="19">
        <f>COUNTIFS(F4:F122,Z241,B4:B122,1)+COUNTIFS(I4:I122,Z241,M4:M122,1)</f>
        <v>5</v>
      </c>
      <c r="AD241" s="19">
        <f>COUNTIFS(F4:F122,Z241,B4:B122,0)+COUNTIFS(I4:I122,Z241,M4:M122,0)</f>
        <v>2</v>
      </c>
      <c r="AE241" s="19">
        <f>SUMIF(F4:F122,Z241,G4:G122)+SUMIF(I4:I122,Z241,H4:H122)</f>
        <v>11</v>
      </c>
      <c r="AF241" s="19">
        <f>SUMIF(F4:F122,Z241,H4:H122)+SUMIF(I4:I122,Z241,G4:G122)</f>
        <v>10</v>
      </c>
      <c r="AG241" s="19">
        <f t="shared" si="188"/>
        <v>1</v>
      </c>
      <c r="AH241" s="19">
        <f t="shared" si="189"/>
        <v>17</v>
      </c>
      <c r="AI241" s="19">
        <f t="shared" si="187"/>
        <v>17000.020999999997</v>
      </c>
      <c r="AJ241" s="2"/>
      <c r="AW241" s="7"/>
    </row>
    <row r="242" spans="1:49" x14ac:dyDescent="0.25">
      <c r="A242" s="1"/>
      <c r="B242" s="2">
        <f t="shared" si="160"/>
        <v>1</v>
      </c>
      <c r="D242" s="61">
        <f t="shared" si="191"/>
        <v>12</v>
      </c>
      <c r="F242" s="9" t="s">
        <v>92</v>
      </c>
      <c r="G242" s="10">
        <v>1</v>
      </c>
      <c r="H242" s="10">
        <v>1</v>
      </c>
      <c r="I242" s="9" t="s">
        <v>91</v>
      </c>
      <c r="J242" s="6"/>
      <c r="K242" s="61">
        <f t="shared" si="192"/>
        <v>8</v>
      </c>
      <c r="M242" s="2">
        <f t="shared" si="190"/>
        <v>1</v>
      </c>
      <c r="O242" s="2" t="str">
        <f t="shared" si="161"/>
        <v>N</v>
      </c>
      <c r="P242" s="2" t="str">
        <f t="shared" si="162"/>
        <v>N</v>
      </c>
      <c r="S242" s="2" t="str">
        <f t="shared" si="193"/>
        <v>FC AugsburgSC Freiburg</v>
      </c>
      <c r="T242" s="2" t="str">
        <f t="shared" si="194"/>
        <v>1-1</v>
      </c>
      <c r="V242" s="2" t="str">
        <f t="shared" si="186"/>
        <v>Werder Bremen</v>
      </c>
      <c r="W242" s="2">
        <f t="shared" si="184"/>
        <v>14</v>
      </c>
      <c r="Y242" s="19">
        <f>RANK(AI242,$AI$225:$AI$242,0)+COUNTIF($AI$224:AI241,AI242)</f>
        <v>14</v>
      </c>
      <c r="Z242" s="19" t="str">
        <f t="shared" si="185"/>
        <v>Werder Bremen</v>
      </c>
      <c r="AA242" s="19">
        <f>COUNTIFS(F4:F122,Z242,G4:G122,"&gt;=0")+COUNTIFS(I4:I122,Z242,H4:H122,"&gt;=0")</f>
        <v>11</v>
      </c>
      <c r="AB242" s="19">
        <f>COUNTIFS(F4:F122,Z242,B4:B122,3)+COUNTIFS(I4:I122,Z242,M4:M122,3)</f>
        <v>2</v>
      </c>
      <c r="AC242" s="19">
        <f>COUNTIFS(F4:F122,Z242,B4:B122,1)+COUNTIFS(I4:I122,Z242,M4:M122,1)</f>
        <v>5</v>
      </c>
      <c r="AD242" s="19">
        <f>COUNTIFS(F4:F122,Z242,B4:B122,0)+COUNTIFS(I4:I122,Z242,M4:M122,0)</f>
        <v>4</v>
      </c>
      <c r="AE242" s="19">
        <f>SUMIF(F4:F122,Z242,G4:G122)+SUMIF(I4:I122,Z242,H4:H122)</f>
        <v>18</v>
      </c>
      <c r="AF242" s="19">
        <f>SUMIF(F4:F122,Z242,H4:H122)+SUMIF(I4:I122,Z242,G4:G122)</f>
        <v>24</v>
      </c>
      <c r="AG242" s="19">
        <f t="shared" si="188"/>
        <v>-6</v>
      </c>
      <c r="AH242" s="19">
        <f t="shared" si="189"/>
        <v>11</v>
      </c>
      <c r="AI242" s="19">
        <f t="shared" si="187"/>
        <v>10999.958000000001</v>
      </c>
      <c r="AJ242" s="2"/>
      <c r="AW242" s="7"/>
    </row>
    <row r="243" spans="1:49" x14ac:dyDescent="0.25">
      <c r="A243" s="1"/>
      <c r="B243" s="2">
        <f t="shared" si="160"/>
        <v>1</v>
      </c>
      <c r="D243" s="61">
        <f t="shared" si="191"/>
        <v>15</v>
      </c>
      <c r="F243" s="9" t="s">
        <v>90</v>
      </c>
      <c r="G243" s="10">
        <v>0</v>
      </c>
      <c r="H243" s="10">
        <v>0</v>
      </c>
      <c r="I243" s="9" t="s">
        <v>93</v>
      </c>
      <c r="J243" s="6"/>
      <c r="K243" s="61">
        <f t="shared" si="192"/>
        <v>6</v>
      </c>
      <c r="M243" s="2">
        <f t="shared" si="190"/>
        <v>1</v>
      </c>
      <c r="O243" s="2" t="str">
        <f t="shared" si="161"/>
        <v>N</v>
      </c>
      <c r="P243" s="2" t="str">
        <f t="shared" si="162"/>
        <v>N</v>
      </c>
      <c r="S243" s="2" t="str">
        <f t="shared" si="193"/>
        <v>1. FSV Mainz 05FC Schalke 04</v>
      </c>
      <c r="T243" s="2" t="str">
        <f t="shared" si="194"/>
        <v>0-0</v>
      </c>
      <c r="AJ243" s="2"/>
      <c r="AW243" s="7"/>
    </row>
    <row r="244" spans="1:49" x14ac:dyDescent="0.25">
      <c r="A244" s="1"/>
      <c r="F244" s="107"/>
      <c r="G244" s="108"/>
      <c r="H244" s="108"/>
      <c r="I244" s="107"/>
      <c r="J244" s="6"/>
      <c r="O244" s="2" t="str">
        <f t="shared" si="161"/>
        <v/>
      </c>
      <c r="P244" s="2" t="str">
        <f t="shared" si="162"/>
        <v/>
      </c>
      <c r="W244" s="18">
        <v>12</v>
      </c>
      <c r="Y244" s="19"/>
      <c r="Z244" s="19" t="s">
        <v>1</v>
      </c>
      <c r="AA244" s="19" t="s">
        <v>2</v>
      </c>
      <c r="AB244" s="19" t="s">
        <v>3</v>
      </c>
      <c r="AC244" s="19" t="s">
        <v>4</v>
      </c>
      <c r="AD244" s="19" t="s">
        <v>5</v>
      </c>
      <c r="AE244" s="19" t="s">
        <v>6</v>
      </c>
      <c r="AF244" s="19" t="s">
        <v>7</v>
      </c>
      <c r="AG244" s="19" t="s">
        <v>8</v>
      </c>
      <c r="AH244" s="19" t="s">
        <v>9</v>
      </c>
      <c r="AI244" s="19" t="s">
        <v>0</v>
      </c>
      <c r="AJ244" s="2"/>
      <c r="AW244" s="7"/>
    </row>
    <row r="245" spans="1:49" x14ac:dyDescent="0.25">
      <c r="A245" s="1"/>
      <c r="B245" s="2" t="str">
        <f t="shared" si="160"/>
        <v/>
      </c>
      <c r="F245" s="154" t="s">
        <v>62</v>
      </c>
      <c r="G245" s="154"/>
      <c r="H245" s="154"/>
      <c r="I245" s="154"/>
      <c r="J245" s="6"/>
      <c r="M245" s="2" t="str">
        <f t="shared" ref="M245:M254" si="195">IF(H245="","",IF(H245&gt;G245,3,IF(H245=G245,1,0)))</f>
        <v/>
      </c>
      <c r="O245" s="2" t="str">
        <f t="shared" si="161"/>
        <v/>
      </c>
      <c r="P245" s="2" t="str">
        <f t="shared" si="162"/>
        <v/>
      </c>
      <c r="V245" s="2" t="str">
        <f>CONCATENATE(Z245)</f>
        <v>1. FC Köln</v>
      </c>
      <c r="W245" s="2">
        <f t="shared" ref="W245:W262" si="196">Y245</f>
        <v>17</v>
      </c>
      <c r="Y245" s="19">
        <f>RANK(AI245,$AI$245:$AI$262,0)+COUNTIF($AI$244:AI244,AI245)</f>
        <v>17</v>
      </c>
      <c r="Z245" s="19" t="str">
        <f t="shared" ref="Z245:Z262" si="197">CONCATENATE(Z5)</f>
        <v>1. FC Köln</v>
      </c>
      <c r="AA245" s="19">
        <f>COUNTIFS(F4:F133,Z245,G4:G133,"&gt;=0")+COUNTIFS(I4:I133,Z245,H4:H133,"&gt;=0")</f>
        <v>12</v>
      </c>
      <c r="AB245" s="19">
        <f>COUNTIFS(F4:F133,Z245,B4:B133,3)+COUNTIFS(I4:I133,Z245,M4:M133,3)</f>
        <v>2</v>
      </c>
      <c r="AC245" s="19">
        <f>COUNTIFS(F4:F133,Z245,B4:B133,1)+COUNTIFS(I4:I133,Z245,M4:M133,1)</f>
        <v>1</v>
      </c>
      <c r="AD245" s="19">
        <f>COUNTIFS(F4:F133,Z245,B4:B133,0)+COUNTIFS(I4:I133,Z245,M4:M133,0)</f>
        <v>9</v>
      </c>
      <c r="AE245" s="19">
        <f>SUMIF(F4:F133,Z245,G4:G133)+SUMIF(I4:I133,Z245,H4:H133)</f>
        <v>11</v>
      </c>
      <c r="AF245" s="19">
        <f>SUMIF(F4:F133,Z245,H4:H133)+SUMIF(I4:I133,Z245,G4:G133)</f>
        <v>27</v>
      </c>
      <c r="AG245" s="19">
        <f>+AE245-AF245</f>
        <v>-16</v>
      </c>
      <c r="AH245" s="19">
        <f>(AB245*3)+AC245</f>
        <v>7</v>
      </c>
      <c r="AI245" s="19">
        <f>SUM(AH245*1000+(AG245)/100+(AE245)/1000)</f>
        <v>6999.8510000000006</v>
      </c>
      <c r="AW245" s="7"/>
    </row>
    <row r="246" spans="1:49" x14ac:dyDescent="0.25">
      <c r="A246" s="1"/>
      <c r="B246" s="2">
        <f t="shared" si="160"/>
        <v>0</v>
      </c>
      <c r="D246" s="61">
        <f t="shared" ref="D246:D254" si="198">IFERROR(VLOOKUP(F246,$V$445:$W$462,2,FALSE),"")</f>
        <v>17</v>
      </c>
      <c r="F246" s="9" t="s">
        <v>87</v>
      </c>
      <c r="G246" s="10">
        <v>0</v>
      </c>
      <c r="H246" s="10">
        <v>2</v>
      </c>
      <c r="I246" s="9" t="s">
        <v>80</v>
      </c>
      <c r="J246" s="6"/>
      <c r="K246" s="61">
        <f t="shared" ref="K246:K254" si="199">IFERROR(VLOOKUP(I246,$V$445:$W$462,2,FALSE),"")</f>
        <v>3</v>
      </c>
      <c r="M246" s="2">
        <f t="shared" si="195"/>
        <v>3</v>
      </c>
      <c r="O246" s="2" t="str">
        <f t="shared" si="161"/>
        <v>P</v>
      </c>
      <c r="P246" s="2" t="str">
        <f t="shared" si="162"/>
        <v>G</v>
      </c>
      <c r="S246" s="2" t="str">
        <f t="shared" ref="S246:S254" si="200">IF(M246&lt;&gt;"",F246&amp;I246,"")</f>
        <v>Werder BremenBorussia Dortmund</v>
      </c>
      <c r="T246" s="2" t="str">
        <f t="shared" ref="T246:T254" si="201">IF(S246&lt;&gt;"",G246&amp;"-"&amp;H246,"")</f>
        <v>0-2</v>
      </c>
      <c r="V246" s="2" t="str">
        <f t="shared" ref="V246:V262" si="202">CONCATENATE(Z246)</f>
        <v>1. FC Union Berlin</v>
      </c>
      <c r="W246" s="2">
        <f t="shared" si="196"/>
        <v>11</v>
      </c>
      <c r="Y246" s="19">
        <f>RANK(AI246,$AI$245:$AI$262,0)+COUNTIF($AI$244:AI245,AI246)</f>
        <v>11</v>
      </c>
      <c r="Z246" s="19" t="str">
        <f t="shared" si="197"/>
        <v>1. FC Union Berlin</v>
      </c>
      <c r="AA246" s="19">
        <f>COUNTIFS(F4:F133,Z246,G4:G133,"&gt;=0")+COUNTIFS(I4:I133,Z246,H4:H133,"&gt;=0")</f>
        <v>12</v>
      </c>
      <c r="AB246" s="19">
        <f>COUNTIFS(F4:F133,Z246,B4:B133,3)+COUNTIFS(I4:I133,Z246,M4:M133,3)</f>
        <v>5</v>
      </c>
      <c r="AC246" s="19">
        <f>COUNTIFS(F4:F133,Z246,B4:B133,1)+COUNTIFS(I4:I133,Z246,M4:M133,1)</f>
        <v>1</v>
      </c>
      <c r="AD246" s="19">
        <f>COUNTIFS(F4:F133,Z246,B4:B133,0)+COUNTIFS(I4:I133,Z246,M4:M133,0)</f>
        <v>6</v>
      </c>
      <c r="AE246" s="19">
        <f>SUMIF(F4:F133,Z246,G4:G133)+SUMIF(I4:I133,Z246,H4:H133)</f>
        <v>15</v>
      </c>
      <c r="AF246" s="19">
        <f>SUMIF(F4:F133,Z246,H4:H133)+SUMIF(I4:I133,Z246,G4:G133)</f>
        <v>17</v>
      </c>
      <c r="AG246" s="19">
        <f>+AE246-AF246</f>
        <v>-2</v>
      </c>
      <c r="AH246" s="19">
        <f>(AB246*3)+AC246</f>
        <v>16</v>
      </c>
      <c r="AI246" s="19">
        <f t="shared" ref="AI246:AI262" si="203">SUM(AH246*1000+(AG246)/100+(AE246)/1000)</f>
        <v>15999.994999999999</v>
      </c>
      <c r="AJ246" s="2"/>
      <c r="AW246" s="7"/>
    </row>
    <row r="247" spans="1:49" x14ac:dyDescent="0.25">
      <c r="A247" s="1"/>
      <c r="B247" s="2">
        <f t="shared" si="160"/>
        <v>0</v>
      </c>
      <c r="D247" s="61">
        <f t="shared" si="198"/>
        <v>6</v>
      </c>
      <c r="F247" s="9" t="s">
        <v>93</v>
      </c>
      <c r="G247" s="10">
        <v>0</v>
      </c>
      <c r="H247" s="10">
        <v>5</v>
      </c>
      <c r="I247" s="9" t="s">
        <v>81</v>
      </c>
      <c r="J247" s="6"/>
      <c r="K247" s="61">
        <f t="shared" si="199"/>
        <v>2</v>
      </c>
      <c r="M247" s="2">
        <f t="shared" si="195"/>
        <v>3</v>
      </c>
      <c r="O247" s="2" t="str">
        <f t="shared" si="161"/>
        <v>P</v>
      </c>
      <c r="P247" s="2" t="str">
        <f t="shared" si="162"/>
        <v>G</v>
      </c>
      <c r="S247" s="2" t="str">
        <f t="shared" si="200"/>
        <v>FC Schalke 04RB Leipzig</v>
      </c>
      <c r="T247" s="2" t="str">
        <f t="shared" si="201"/>
        <v>0-5</v>
      </c>
      <c r="V247" s="2" t="str">
        <f t="shared" si="202"/>
        <v>1. FSV Mainz 05</v>
      </c>
      <c r="W247" s="2">
        <f t="shared" si="196"/>
        <v>13</v>
      </c>
      <c r="Y247" s="19">
        <f>RANK(AI247,$AI$245:$AI$262,0)+COUNTIF($AI$244:AI246,AI247)</f>
        <v>13</v>
      </c>
      <c r="Z247" s="19" t="str">
        <f t="shared" si="197"/>
        <v>1. FSV Mainz 05</v>
      </c>
      <c r="AA247" s="19">
        <f>COUNTIFS(F4:F133,Z247,G4:G133,"&gt;=0")+COUNTIFS(I4:I133,Z247,H4:H133,"&gt;=0")</f>
        <v>12</v>
      </c>
      <c r="AB247" s="19">
        <f>COUNTIFS(F4:F133,Z247,B4:B133,3)+COUNTIFS(I4:I133,Z247,M4:M133,3)</f>
        <v>4</v>
      </c>
      <c r="AC247" s="19">
        <f>COUNTIFS(F4:F133,Z247,B4:B133,1)+COUNTIFS(I4:I133,Z247,M4:M133,1)</f>
        <v>0</v>
      </c>
      <c r="AD247" s="19">
        <f>COUNTIFS(F4:F133,Z247,B4:B133,0)+COUNTIFS(I4:I133,Z247,M4:M133,0)</f>
        <v>8</v>
      </c>
      <c r="AE247" s="19">
        <f>SUMIF(F4:F133,Z247,G4:G133)+SUMIF(I4:I133,Z247,H4:H133)</f>
        <v>17</v>
      </c>
      <c r="AF247" s="19">
        <f>SUMIF(F4:F133,Z247,H4:H133)+SUMIF(I4:I133,Z247,G4:G133)</f>
        <v>31</v>
      </c>
      <c r="AG247" s="19">
        <f>+AE247-AF247</f>
        <v>-14</v>
      </c>
      <c r="AH247" s="19">
        <f>(AB247*3)+AC247</f>
        <v>12</v>
      </c>
      <c r="AI247" s="19">
        <f t="shared" si="203"/>
        <v>11999.877</v>
      </c>
      <c r="AJ247" s="2"/>
      <c r="AW247" s="7"/>
    </row>
    <row r="248" spans="1:49" x14ac:dyDescent="0.25">
      <c r="A248" s="1"/>
      <c r="B248" s="2">
        <f t="shared" si="160"/>
        <v>1</v>
      </c>
      <c r="D248" s="61">
        <f t="shared" si="198"/>
        <v>4</v>
      </c>
      <c r="F248" s="9" t="s">
        <v>82</v>
      </c>
      <c r="G248" s="10">
        <v>1</v>
      </c>
      <c r="H248" s="10">
        <v>1</v>
      </c>
      <c r="I248" s="9" t="s">
        <v>86</v>
      </c>
      <c r="J248" s="6"/>
      <c r="K248" s="61">
        <f t="shared" si="199"/>
        <v>8</v>
      </c>
      <c r="M248" s="2">
        <f t="shared" si="195"/>
        <v>1</v>
      </c>
      <c r="O248" s="2" t="str">
        <f t="shared" si="161"/>
        <v>N</v>
      </c>
      <c r="P248" s="2" t="str">
        <f t="shared" si="162"/>
        <v>N</v>
      </c>
      <c r="S248" s="2" t="str">
        <f t="shared" si="200"/>
        <v>Bor. Mönchengladbach1899 Hoffenheim</v>
      </c>
      <c r="T248" s="2" t="str">
        <f t="shared" si="201"/>
        <v>1-1</v>
      </c>
      <c r="V248" s="2" t="str">
        <f t="shared" si="202"/>
        <v>1899 Hoffenheim</v>
      </c>
      <c r="W248" s="2">
        <f t="shared" si="196"/>
        <v>8</v>
      </c>
      <c r="Y248" s="19">
        <f>RANK(AI248,$AI$245:$AI$262,0)+COUNTIF($AI$244:AI247,AI248)</f>
        <v>8</v>
      </c>
      <c r="Z248" s="19" t="str">
        <f t="shared" si="197"/>
        <v>1899 Hoffenheim</v>
      </c>
      <c r="AA248" s="19">
        <f>COUNTIFS(F4:F133,Z248,G4:G133,"&gt;=0")+COUNTIFS(I4:I133,Z248,H4:H133,"&gt;=0")</f>
        <v>12</v>
      </c>
      <c r="AB248" s="19">
        <f>COUNTIFS(F4:F133,Z248,B4:B133,3)+COUNTIFS(I4:I133,Z248,M4:M133,3)</f>
        <v>6</v>
      </c>
      <c r="AC248" s="19">
        <f>COUNTIFS(F4:F133,Z248,B4:B133,1)+COUNTIFS(I4:I133,Z248,M4:M133,1)</f>
        <v>2</v>
      </c>
      <c r="AD248" s="19">
        <f>COUNTIFS(F4:F133,Z248,B4:B133,0)+COUNTIFS(I4:I133,Z248,M4:M133,0)</f>
        <v>4</v>
      </c>
      <c r="AE248" s="19">
        <f>SUMIF(F4:F133,Z248,G4:G133)+SUMIF(I4:I133,Z248,H4:H133)</f>
        <v>17</v>
      </c>
      <c r="AF248" s="19">
        <f>SUMIF(F4:F133,Z248,H4:H133)+SUMIF(I4:I133,Z248,G4:G133)</f>
        <v>19</v>
      </c>
      <c r="AG248" s="19">
        <f t="shared" ref="AG248:AG262" si="204">+AE248-AF248</f>
        <v>-2</v>
      </c>
      <c r="AH248" s="19">
        <f>(AB248*3)+AC248</f>
        <v>20</v>
      </c>
      <c r="AI248" s="19">
        <f t="shared" si="203"/>
        <v>19999.996999999999</v>
      </c>
      <c r="AJ248" s="2"/>
      <c r="AW248" s="7"/>
    </row>
    <row r="249" spans="1:49" x14ac:dyDescent="0.25">
      <c r="A249" s="1"/>
      <c r="B249" s="2">
        <f t="shared" si="160"/>
        <v>0</v>
      </c>
      <c r="D249" s="61">
        <f t="shared" si="198"/>
        <v>7</v>
      </c>
      <c r="F249" s="9" t="s">
        <v>91</v>
      </c>
      <c r="G249" s="10">
        <v>0</v>
      </c>
      <c r="H249" s="10">
        <v>2</v>
      </c>
      <c r="I249" s="9" t="s">
        <v>89</v>
      </c>
      <c r="J249" s="6"/>
      <c r="K249" s="61">
        <f t="shared" si="199"/>
        <v>16</v>
      </c>
      <c r="M249" s="2">
        <f t="shared" si="195"/>
        <v>3</v>
      </c>
      <c r="O249" s="2" t="str">
        <f t="shared" si="161"/>
        <v>P</v>
      </c>
      <c r="P249" s="2" t="str">
        <f t="shared" si="162"/>
        <v>G</v>
      </c>
      <c r="S249" s="2" t="str">
        <f t="shared" si="200"/>
        <v>SC FreiburgFortuna Düsseldorf</v>
      </c>
      <c r="T249" s="2" t="str">
        <f t="shared" si="201"/>
        <v>0-2</v>
      </c>
      <c r="V249" s="2" t="str">
        <f t="shared" si="202"/>
        <v>Bayer Leverkusen</v>
      </c>
      <c r="W249" s="2">
        <f t="shared" si="196"/>
        <v>9</v>
      </c>
      <c r="Y249" s="19">
        <f>RANK(AI249,$AI$245:$AI$262,0)+COUNTIF($AI$244:AI248,AI249)</f>
        <v>9</v>
      </c>
      <c r="Z249" s="19" t="str">
        <f t="shared" si="197"/>
        <v>Bayer Leverkusen</v>
      </c>
      <c r="AA249" s="19">
        <f>COUNTIFS(F4:F133,Z249,G4:G133,"&gt;=0")+COUNTIFS(I4:I133,Z249,H4:H133,"&gt;=0")</f>
        <v>12</v>
      </c>
      <c r="AB249" s="19">
        <f>COUNTIFS(F4:F133,Z249,B4:B133,3)+COUNTIFS(I4:I133,Z249,M4:M133,3)</f>
        <v>5</v>
      </c>
      <c r="AC249" s="19">
        <f>COUNTIFS(F4:F133,Z249,B4:B133,1)+COUNTIFS(I4:I133,Z249,M4:M133,1)</f>
        <v>4</v>
      </c>
      <c r="AD249" s="19">
        <f>COUNTIFS(F4:F133,Z249,B4:B133,0)+COUNTIFS(I4:I133,Z249,M4:M133,0)</f>
        <v>3</v>
      </c>
      <c r="AE249" s="19">
        <f>SUMIF(F4:F133,Z249,G4:G133)+SUMIF(I4:I133,Z249,H4:H133)</f>
        <v>18</v>
      </c>
      <c r="AF249" s="19">
        <f>SUMIF(F4:F133,Z249,H4:H133)+SUMIF(I4:I133,Z249,G4:G133)</f>
        <v>16</v>
      </c>
      <c r="AG249" s="19">
        <f t="shared" si="204"/>
        <v>2</v>
      </c>
      <c r="AH249" s="19">
        <f>(AB249*3)+AC249</f>
        <v>19</v>
      </c>
      <c r="AI249" s="19">
        <f t="shared" si="203"/>
        <v>19000.038</v>
      </c>
      <c r="AJ249" s="2"/>
      <c r="AW249" s="7"/>
    </row>
    <row r="250" spans="1:49" x14ac:dyDescent="0.25">
      <c r="A250" s="1"/>
      <c r="B250" s="2">
        <f t="shared" si="160"/>
        <v>3</v>
      </c>
      <c r="D250" s="61">
        <f t="shared" si="198"/>
        <v>9</v>
      </c>
      <c r="F250" s="9" t="s">
        <v>85</v>
      </c>
      <c r="G250" s="10">
        <v>4</v>
      </c>
      <c r="H250" s="10">
        <v>0</v>
      </c>
      <c r="I250" s="9" t="s">
        <v>90</v>
      </c>
      <c r="J250" s="6"/>
      <c r="K250" s="61">
        <f t="shared" si="199"/>
        <v>15</v>
      </c>
      <c r="M250" s="2">
        <f t="shared" si="195"/>
        <v>0</v>
      </c>
      <c r="O250" s="2" t="str">
        <f t="shared" si="161"/>
        <v>G</v>
      </c>
      <c r="P250" s="2" t="str">
        <f t="shared" si="162"/>
        <v>P</v>
      </c>
      <c r="S250" s="2" t="str">
        <f t="shared" si="200"/>
        <v>VfL Wolfsburg1. FSV Mainz 05</v>
      </c>
      <c r="T250" s="2" t="str">
        <f t="shared" si="201"/>
        <v>4-0</v>
      </c>
      <c r="V250" s="2" t="str">
        <f t="shared" si="202"/>
        <v>Bayern München</v>
      </c>
      <c r="W250" s="2">
        <f t="shared" si="196"/>
        <v>3</v>
      </c>
      <c r="Y250" s="19">
        <f>RANK(AI250,$AI$245:$AI$262,0)+COUNTIF($AI$244:AI249,AI250)</f>
        <v>3</v>
      </c>
      <c r="Z250" s="19" t="str">
        <f t="shared" si="197"/>
        <v>Bayern München</v>
      </c>
      <c r="AA250" s="19">
        <f>COUNTIFS(F4:F133,Z250,G4:G133,"&gt;=0")+COUNTIFS(I4:I133,Z250,H4:H133,"&gt;=0")</f>
        <v>12</v>
      </c>
      <c r="AB250" s="19">
        <f>COUNTIFS(F4:F133,Z250,B4:B133,3)+COUNTIFS(I4:I133,Z250,M4:M133,3)</f>
        <v>7</v>
      </c>
      <c r="AC250" s="19">
        <f>COUNTIFS(F4:F133,Z250,B4:B133,1)+COUNTIFS(I4:I133,Z250,M4:M133,1)</f>
        <v>3</v>
      </c>
      <c r="AD250" s="19">
        <f>COUNTIFS(F4:F133,Z250,B4:B133,0)+COUNTIFS(I4:I133,Z250,M4:M133,0)</f>
        <v>2</v>
      </c>
      <c r="AE250" s="19">
        <f>SUMIF(F4:F133,Z250,G4:G133)+SUMIF(I4:I133,Z250,H4:H133)</f>
        <v>33</v>
      </c>
      <c r="AF250" s="19">
        <f>SUMIF(F4:F133,Z250,H4:H133)+SUMIF(I4:I133,Z250,G4:G133)</f>
        <v>16</v>
      </c>
      <c r="AG250" s="19">
        <f t="shared" si="204"/>
        <v>17</v>
      </c>
      <c r="AH250" s="19">
        <f t="shared" ref="AH250:AH262" si="205">(AB250*3)+AC250</f>
        <v>24</v>
      </c>
      <c r="AI250" s="19">
        <f t="shared" si="203"/>
        <v>24000.202999999998</v>
      </c>
      <c r="AJ250" s="2"/>
      <c r="AW250" s="7"/>
    </row>
    <row r="251" spans="1:49" x14ac:dyDescent="0.25">
      <c r="A251" s="1"/>
      <c r="B251" s="2">
        <f t="shared" si="160"/>
        <v>3</v>
      </c>
      <c r="D251" s="61">
        <f t="shared" si="198"/>
        <v>5</v>
      </c>
      <c r="F251" s="9" t="s">
        <v>83</v>
      </c>
      <c r="G251" s="10">
        <v>2</v>
      </c>
      <c r="H251" s="10">
        <v>0</v>
      </c>
      <c r="I251" s="9" t="s">
        <v>92</v>
      </c>
      <c r="J251" s="6"/>
      <c r="K251" s="61">
        <f t="shared" si="199"/>
        <v>11</v>
      </c>
      <c r="M251" s="2">
        <f t="shared" si="195"/>
        <v>0</v>
      </c>
      <c r="O251" s="2" t="str">
        <f t="shared" si="161"/>
        <v>G</v>
      </c>
      <c r="P251" s="2" t="str">
        <f t="shared" si="162"/>
        <v>P</v>
      </c>
      <c r="S251" s="2" t="str">
        <f t="shared" si="200"/>
        <v>Bayer LeverkusenFC Augsburg</v>
      </c>
      <c r="T251" s="2" t="str">
        <f t="shared" si="201"/>
        <v>2-0</v>
      </c>
      <c r="V251" s="2" t="str">
        <f t="shared" si="202"/>
        <v>Bor. Mönchengladbach</v>
      </c>
      <c r="W251" s="2">
        <f t="shared" si="196"/>
        <v>1</v>
      </c>
      <c r="Y251" s="19">
        <f>RANK(AI251,$AI$245:$AI$262,0)+COUNTIF($AI$244:AI250,AI251)</f>
        <v>1</v>
      </c>
      <c r="Z251" s="19" t="str">
        <f t="shared" si="197"/>
        <v>Bor. Mönchengladbach</v>
      </c>
      <c r="AA251" s="19">
        <f>COUNTIFS(F4:F133,Z251,G4:G133,"&gt;=0")+COUNTIFS(I4:I133,Z251,H4:H133,"&gt;=0")</f>
        <v>12</v>
      </c>
      <c r="AB251" s="19">
        <f>COUNTIFS(F4:F133,Z251,B4:B133,3)+COUNTIFS(I4:I133,Z251,M4:M133,3)</f>
        <v>8</v>
      </c>
      <c r="AC251" s="19">
        <f>COUNTIFS(F4:F133,Z251,B4:B133,1)+COUNTIFS(I4:I133,Z251,M4:M133,1)</f>
        <v>1</v>
      </c>
      <c r="AD251" s="19">
        <f>COUNTIFS(F4:F133,Z251,B4:B133,0)+COUNTIFS(I4:I133,Z251,M4:M133,0)</f>
        <v>3</v>
      </c>
      <c r="AE251" s="19">
        <f>SUMIF(F4:F133,Z251,G4:G133)+SUMIF(I4:I133,Z251,H4:H133)</f>
        <v>24</v>
      </c>
      <c r="AF251" s="19">
        <f>SUMIF(F4:F133,Z251,H4:H133)+SUMIF(I4:I133,Z251,G4:G133)</f>
        <v>13</v>
      </c>
      <c r="AG251" s="19">
        <f t="shared" si="204"/>
        <v>11</v>
      </c>
      <c r="AH251" s="19">
        <f t="shared" si="205"/>
        <v>25</v>
      </c>
      <c r="AI251" s="19">
        <f t="shared" si="203"/>
        <v>25000.134000000002</v>
      </c>
      <c r="AJ251" s="2"/>
      <c r="AW251" s="7"/>
    </row>
    <row r="252" spans="1:49" x14ac:dyDescent="0.25">
      <c r="A252" s="1"/>
      <c r="B252" s="2">
        <f t="shared" si="160"/>
        <v>0</v>
      </c>
      <c r="D252" s="61">
        <f t="shared" si="198"/>
        <v>13</v>
      </c>
      <c r="F252" s="9" t="s">
        <v>88</v>
      </c>
      <c r="G252" s="10">
        <v>0</v>
      </c>
      <c r="H252" s="10">
        <v>5</v>
      </c>
      <c r="I252" s="9" t="s">
        <v>161</v>
      </c>
      <c r="J252" s="6"/>
      <c r="K252" s="61">
        <f t="shared" si="199"/>
        <v>14</v>
      </c>
      <c r="M252" s="2">
        <f t="shared" si="195"/>
        <v>3</v>
      </c>
      <c r="O252" s="2" t="str">
        <f t="shared" si="161"/>
        <v>P</v>
      </c>
      <c r="P252" s="2" t="str">
        <f t="shared" si="162"/>
        <v>G</v>
      </c>
      <c r="S252" s="2" t="str">
        <f t="shared" si="200"/>
        <v>Hertha BSC1. FC Köln</v>
      </c>
      <c r="T252" s="2" t="str">
        <f t="shared" si="201"/>
        <v>0-5</v>
      </c>
      <c r="V252" s="2" t="str">
        <f t="shared" si="202"/>
        <v>Borussia Dortmund</v>
      </c>
      <c r="W252" s="2">
        <f t="shared" si="196"/>
        <v>6</v>
      </c>
      <c r="Y252" s="19">
        <f>RANK(AI252,$AI$245:$AI$262,0)+COUNTIF($AI$244:AI251,AI252)</f>
        <v>6</v>
      </c>
      <c r="Z252" s="19" t="str">
        <f t="shared" si="197"/>
        <v>Borussia Dortmund</v>
      </c>
      <c r="AA252" s="19">
        <f>COUNTIFS(F4:F133,Z252,G4:G133,"&gt;=0")+COUNTIFS(I4:I133,Z252,H4:H133,"&gt;=0")</f>
        <v>12</v>
      </c>
      <c r="AB252" s="19">
        <f>COUNTIFS(F4:F133,Z252,B4:B133,3)+COUNTIFS(I4:I133,Z252,M4:M133,3)</f>
        <v>5</v>
      </c>
      <c r="AC252" s="19">
        <f>COUNTIFS(F4:F133,Z252,B4:B133,1)+COUNTIFS(I4:I133,Z252,M4:M133,1)</f>
        <v>5</v>
      </c>
      <c r="AD252" s="19">
        <f>COUNTIFS(F4:F133,Z252,B4:B133,0)+COUNTIFS(I4:I133,Z252,M4:M133,0)</f>
        <v>2</v>
      </c>
      <c r="AE252" s="19">
        <f>SUMIF(F4:F133,Z252,G4:G133)+SUMIF(I4:I133,Z252,H4:H133)</f>
        <v>26</v>
      </c>
      <c r="AF252" s="19">
        <f>SUMIF(F4:F133,Z252,H4:H133)+SUMIF(I4:I133,Z252,G4:G133)</f>
        <v>18</v>
      </c>
      <c r="AG252" s="19">
        <f t="shared" si="204"/>
        <v>8</v>
      </c>
      <c r="AH252" s="19">
        <f t="shared" si="205"/>
        <v>20</v>
      </c>
      <c r="AI252" s="19">
        <f t="shared" si="203"/>
        <v>20000.106000000003</v>
      </c>
      <c r="AJ252" s="2"/>
      <c r="AW252" s="7"/>
    </row>
    <row r="253" spans="1:49" x14ac:dyDescent="0.25">
      <c r="A253" s="1"/>
      <c r="B253" s="2">
        <f t="shared" si="160"/>
        <v>3</v>
      </c>
      <c r="D253" s="61">
        <f t="shared" si="198"/>
        <v>1</v>
      </c>
      <c r="F253" s="9" t="s">
        <v>79</v>
      </c>
      <c r="G253" s="10">
        <v>3</v>
      </c>
      <c r="H253" s="10">
        <v>2</v>
      </c>
      <c r="I253" s="9" t="s">
        <v>148</v>
      </c>
      <c r="J253" s="6"/>
      <c r="K253" s="61">
        <f t="shared" si="199"/>
        <v>18</v>
      </c>
      <c r="M253" s="2">
        <f t="shared" si="195"/>
        <v>0</v>
      </c>
      <c r="O253" s="2" t="str">
        <f t="shared" si="161"/>
        <v>G</v>
      </c>
      <c r="P253" s="2" t="str">
        <f t="shared" si="162"/>
        <v>P</v>
      </c>
      <c r="S253" s="2" t="str">
        <f t="shared" si="200"/>
        <v>Bayern MünchenSC Paderborn 07</v>
      </c>
      <c r="T253" s="2" t="str">
        <f t="shared" si="201"/>
        <v>3-2</v>
      </c>
      <c r="V253" s="2" t="str">
        <f t="shared" si="202"/>
        <v>Eintracht Frankfurt</v>
      </c>
      <c r="W253" s="2">
        <f t="shared" si="196"/>
        <v>10</v>
      </c>
      <c r="Y253" s="19">
        <f>RANK(AI253,$AI$245:$AI$262,0)+COUNTIF($AI$244:AI252,AI253)</f>
        <v>10</v>
      </c>
      <c r="Z253" s="19" t="str">
        <f t="shared" si="197"/>
        <v>Eintracht Frankfurt</v>
      </c>
      <c r="AA253" s="19">
        <f>COUNTIFS(F4:F133,Z253,G4:G133,"&gt;=0")+COUNTIFS(I4:I133,Z253,H4:H133,"&gt;=0")</f>
        <v>12</v>
      </c>
      <c r="AB253" s="19">
        <f>COUNTIFS(F4:F133,Z253,B4:B133,3)+COUNTIFS(I4:I133,Z253,M4:M133,3)</f>
        <v>5</v>
      </c>
      <c r="AC253" s="19">
        <f>COUNTIFS(F4:F133,Z253,B4:B133,1)+COUNTIFS(I4:I133,Z253,M4:M133,1)</f>
        <v>2</v>
      </c>
      <c r="AD253" s="19">
        <f>COUNTIFS(F4:F133,Z253,B4:B133,0)+COUNTIFS(I4:I133,Z253,M4:M133,0)</f>
        <v>5</v>
      </c>
      <c r="AE253" s="19">
        <f>SUMIF(F4:F133,Z253,G4:G133)+SUMIF(I4:I133,Z253,H4:H133)</f>
        <v>21</v>
      </c>
      <c r="AF253" s="19">
        <f>SUMIF(F4:F133,Z253,H4:H133)+SUMIF(I4:I133,Z253,G4:G133)</f>
        <v>18</v>
      </c>
      <c r="AG253" s="19">
        <f t="shared" si="204"/>
        <v>3</v>
      </c>
      <c r="AH253" s="19">
        <f t="shared" si="205"/>
        <v>17</v>
      </c>
      <c r="AI253" s="19">
        <f t="shared" si="203"/>
        <v>17000.050999999999</v>
      </c>
      <c r="AJ253" s="2"/>
      <c r="AW253" s="7"/>
    </row>
    <row r="254" spans="1:49" x14ac:dyDescent="0.25">
      <c r="A254" s="1"/>
      <c r="B254" s="2">
        <f t="shared" si="160"/>
        <v>0</v>
      </c>
      <c r="D254" s="61">
        <f t="shared" si="198"/>
        <v>10</v>
      </c>
      <c r="F254" s="9" t="s">
        <v>84</v>
      </c>
      <c r="G254" s="10">
        <v>1</v>
      </c>
      <c r="H254" s="10">
        <v>2</v>
      </c>
      <c r="I254" s="9" t="s">
        <v>162</v>
      </c>
      <c r="J254" s="6"/>
      <c r="K254" s="61">
        <f t="shared" si="199"/>
        <v>12</v>
      </c>
      <c r="M254" s="2">
        <f t="shared" si="195"/>
        <v>3</v>
      </c>
      <c r="O254" s="2" t="str">
        <f t="shared" si="161"/>
        <v>P</v>
      </c>
      <c r="P254" s="2" t="str">
        <f t="shared" si="162"/>
        <v>G</v>
      </c>
      <c r="S254" s="2" t="str">
        <f t="shared" si="200"/>
        <v>Eintracht Frankfurt1. FC Union Berlin</v>
      </c>
      <c r="T254" s="2" t="str">
        <f t="shared" si="201"/>
        <v>1-2</v>
      </c>
      <c r="V254" s="2" t="str">
        <f t="shared" si="202"/>
        <v>FC Augsburg</v>
      </c>
      <c r="W254" s="2">
        <f t="shared" si="196"/>
        <v>12</v>
      </c>
      <c r="Y254" s="19">
        <f>RANK(AI254,$AI$245:$AI$262,0)+COUNTIF($AI$244:AI253,AI254)</f>
        <v>12</v>
      </c>
      <c r="Z254" s="19" t="str">
        <f t="shared" si="197"/>
        <v>FC Augsburg</v>
      </c>
      <c r="AA254" s="19">
        <f>COUNTIFS(F4:F133,Z254,G4:G133,"&gt;=0")+COUNTIFS(I4:I133,Z254,H4:H133,"&gt;=0")</f>
        <v>12</v>
      </c>
      <c r="AB254" s="19">
        <f>COUNTIFS(F4:F133,Z254,B4:B133,3)+COUNTIFS(I4:I133,Z254,M4:M133,3)</f>
        <v>3</v>
      </c>
      <c r="AC254" s="19">
        <f>COUNTIFS(F4:F133,Z254,B4:B133,1)+COUNTIFS(I4:I133,Z254,M4:M133,1)</f>
        <v>4</v>
      </c>
      <c r="AD254" s="19">
        <f>COUNTIFS(F4:F133,Z254,B4:B133,0)+COUNTIFS(I4:I133,Z254,M4:M133,0)</f>
        <v>5</v>
      </c>
      <c r="AE254" s="19">
        <f>SUMIF(F4:F133,Z254,G4:G133)+SUMIF(I4:I133,Z254,H4:H133)</f>
        <v>17</v>
      </c>
      <c r="AF254" s="19">
        <f>SUMIF(F4:F133,Z254,H4:H133)+SUMIF(I4:I133,Z254,G4:G133)</f>
        <v>24</v>
      </c>
      <c r="AG254" s="19">
        <f t="shared" si="204"/>
        <v>-7</v>
      </c>
      <c r="AH254" s="19">
        <f t="shared" si="205"/>
        <v>13</v>
      </c>
      <c r="AI254" s="19">
        <f t="shared" si="203"/>
        <v>12999.947</v>
      </c>
      <c r="AJ254" s="2"/>
      <c r="AW254" s="7"/>
    </row>
    <row r="255" spans="1:49" x14ac:dyDescent="0.25">
      <c r="A255" s="1"/>
      <c r="F255" s="107"/>
      <c r="G255" s="108"/>
      <c r="H255" s="108"/>
      <c r="I255" s="107"/>
      <c r="J255" s="6"/>
      <c r="O255" s="2" t="str">
        <f t="shared" si="161"/>
        <v/>
      </c>
      <c r="P255" s="2" t="str">
        <f t="shared" si="162"/>
        <v/>
      </c>
      <c r="V255" s="2" t="str">
        <f t="shared" si="202"/>
        <v>FC Schalke 04</v>
      </c>
      <c r="W255" s="2">
        <f t="shared" si="196"/>
        <v>5</v>
      </c>
      <c r="Y255" s="19">
        <f>RANK(AI255,$AI$245:$AI$262,0)+COUNTIF($AI$244:AI254,AI255)</f>
        <v>5</v>
      </c>
      <c r="Z255" s="19" t="str">
        <f t="shared" si="197"/>
        <v>FC Schalke 04</v>
      </c>
      <c r="AA255" s="19">
        <f>COUNTIFS(F4:F133,Z255,G4:G133,"&gt;=0")+COUNTIFS(I4:I133,Z255,H4:H133,"&gt;=0")</f>
        <v>12</v>
      </c>
      <c r="AB255" s="19">
        <f>COUNTIFS(F4:F133,Z255,B4:B133,3)+COUNTIFS(I4:I133,Z255,M4:M133,3)</f>
        <v>6</v>
      </c>
      <c r="AC255" s="19">
        <f>COUNTIFS(F4:F133,Z255,B4:B133,1)+COUNTIFS(I4:I133,Z255,M4:M133,1)</f>
        <v>4</v>
      </c>
      <c r="AD255" s="19">
        <f>COUNTIFS(F4:F133,Z255,B4:B133,0)+COUNTIFS(I4:I133,Z255,M4:M133,0)</f>
        <v>2</v>
      </c>
      <c r="AE255" s="19">
        <f>SUMIF(F4:F133,Z255,G4:G133)+SUMIF(I4:I133,Z255,H4:H133)</f>
        <v>22</v>
      </c>
      <c r="AF255" s="19">
        <f>SUMIF(F4:F133,Z255,H4:H133)+SUMIF(I4:I133,Z255,G4:G133)</f>
        <v>15</v>
      </c>
      <c r="AG255" s="19">
        <f t="shared" si="204"/>
        <v>7</v>
      </c>
      <c r="AH255" s="19">
        <f t="shared" si="205"/>
        <v>22</v>
      </c>
      <c r="AI255" s="19">
        <f t="shared" si="203"/>
        <v>22000.092000000001</v>
      </c>
      <c r="AJ255" s="2"/>
      <c r="AW255" s="7"/>
    </row>
    <row r="256" spans="1:49" x14ac:dyDescent="0.25">
      <c r="A256" s="1"/>
      <c r="B256" s="2" t="str">
        <f t="shared" si="160"/>
        <v/>
      </c>
      <c r="F256" s="154" t="s">
        <v>63</v>
      </c>
      <c r="G256" s="154"/>
      <c r="H256" s="154"/>
      <c r="I256" s="154"/>
      <c r="J256" s="6"/>
      <c r="K256" s="65"/>
      <c r="M256" s="2" t="str">
        <f t="shared" ref="M256:M265" si="206">IF(H256="","",IF(H256&gt;G256,3,IF(H256=G256,1,0)))</f>
        <v/>
      </c>
      <c r="O256" s="2" t="str">
        <f t="shared" si="161"/>
        <v/>
      </c>
      <c r="P256" s="2" t="str">
        <f t="shared" si="162"/>
        <v/>
      </c>
      <c r="V256" s="2" t="str">
        <f t="shared" si="202"/>
        <v>Fortuna Düsseldorf</v>
      </c>
      <c r="W256" s="2">
        <f t="shared" si="196"/>
        <v>16</v>
      </c>
      <c r="Y256" s="19">
        <f>RANK(AI256,$AI$245:$AI$262,0)+COUNTIF($AI$244:AI255,AI256)</f>
        <v>16</v>
      </c>
      <c r="Z256" s="19" t="str">
        <f t="shared" si="197"/>
        <v>Fortuna Düsseldorf</v>
      </c>
      <c r="AA256" s="19">
        <f>COUNTIFS(F4:F133,Z256,G4:G133,"&gt;=0")+COUNTIFS(I4:I133,Z256,H4:H133,"&gt;=0")</f>
        <v>12</v>
      </c>
      <c r="AB256" s="19">
        <f>COUNTIFS(F4:F133,Z256,B4:B133,3)+COUNTIFS(I4:I133,Z256,M4:M133,3)</f>
        <v>3</v>
      </c>
      <c r="AC256" s="19">
        <f>COUNTIFS(F4:F133,Z256,B4:B133,1)+COUNTIFS(I4:I133,Z256,M4:M133,1)</f>
        <v>2</v>
      </c>
      <c r="AD256" s="19">
        <f>COUNTIFS(F4:F133,Z256,B4:B133,0)+COUNTIFS(I4:I133,Z256,M4:M133,0)</f>
        <v>7</v>
      </c>
      <c r="AE256" s="19">
        <f>SUMIF(F4:F133,Z256,G4:G133)+SUMIF(I4:I133,Z256,H4:H133)</f>
        <v>15</v>
      </c>
      <c r="AF256" s="19">
        <f>SUMIF(F4:F133,Z256,H4:H133)+SUMIF(I4:I133,Z256,G4:G133)</f>
        <v>23</v>
      </c>
      <c r="AG256" s="19">
        <f t="shared" si="204"/>
        <v>-8</v>
      </c>
      <c r="AH256" s="19">
        <f t="shared" si="205"/>
        <v>11</v>
      </c>
      <c r="AI256" s="19">
        <f t="shared" si="203"/>
        <v>10999.934999999999</v>
      </c>
      <c r="AJ256" s="2"/>
      <c r="AW256" s="7"/>
    </row>
    <row r="257" spans="1:49" x14ac:dyDescent="0.25">
      <c r="A257" s="1"/>
      <c r="B257" s="2">
        <f t="shared" si="160"/>
        <v>0</v>
      </c>
      <c r="D257" s="61">
        <f t="shared" ref="D257:D265" si="207">IFERROR(VLOOKUP(F257,$V$465:$W$482,2,FALSE),"")</f>
        <v>8</v>
      </c>
      <c r="F257" s="9" t="s">
        <v>86</v>
      </c>
      <c r="G257" s="10">
        <v>0</v>
      </c>
      <c r="H257" s="10">
        <v>6</v>
      </c>
      <c r="I257" s="9" t="s">
        <v>79</v>
      </c>
      <c r="J257" s="6"/>
      <c r="K257" s="61">
        <f t="shared" ref="K257:K265" si="208">IFERROR(VLOOKUP(I257,$V$465:$W$482,2,FALSE),"")</f>
        <v>1</v>
      </c>
      <c r="M257" s="2">
        <f t="shared" si="206"/>
        <v>3</v>
      </c>
      <c r="O257" s="2" t="str">
        <f t="shared" si="161"/>
        <v>P</v>
      </c>
      <c r="P257" s="2" t="str">
        <f t="shared" si="162"/>
        <v>G</v>
      </c>
      <c r="S257" s="2" t="str">
        <f t="shared" ref="S257:S265" si="209">IF(M257&lt;&gt;"",F257&amp;I257,"")</f>
        <v>1899 HoffenheimBayern München</v>
      </c>
      <c r="T257" s="2" t="str">
        <f t="shared" ref="T257:T265" si="210">IF(S257&lt;&gt;"",G257&amp;"-"&amp;H257,"")</f>
        <v>0-6</v>
      </c>
      <c r="V257" s="2" t="str">
        <f t="shared" si="202"/>
        <v>Hertha BSC</v>
      </c>
      <c r="W257" s="2">
        <f t="shared" si="196"/>
        <v>15</v>
      </c>
      <c r="Y257" s="19">
        <f>RANK(AI257,$AI$245:$AI$262,0)+COUNTIF($AI$244:AI256,AI257)</f>
        <v>15</v>
      </c>
      <c r="Z257" s="19" t="str">
        <f t="shared" si="197"/>
        <v>Hertha BSC</v>
      </c>
      <c r="AA257" s="19">
        <f>COUNTIFS(F4:F133,Z257,G4:G133,"&gt;=0")+COUNTIFS(I4:I133,Z257,H4:H133,"&gt;=0")</f>
        <v>12</v>
      </c>
      <c r="AB257" s="19">
        <f>COUNTIFS(F4:F133,Z257,B4:B133,3)+COUNTIFS(I4:I133,Z257,M4:M133,3)</f>
        <v>3</v>
      </c>
      <c r="AC257" s="19">
        <f>COUNTIFS(F4:F133,Z257,B4:B133,1)+COUNTIFS(I4:I133,Z257,M4:M133,1)</f>
        <v>2</v>
      </c>
      <c r="AD257" s="19">
        <f>COUNTIFS(F4:F133,Z257,B4:B133,0)+COUNTIFS(I4:I133,Z257,M4:M133,0)</f>
        <v>7</v>
      </c>
      <c r="AE257" s="19">
        <f>SUMIF(F4:F133,Z257,G4:G133)+SUMIF(I4:I133,Z257,H4:H133)</f>
        <v>17</v>
      </c>
      <c r="AF257" s="19">
        <f>SUMIF(F4:F133,Z257,H4:H133)+SUMIF(I4:I133,Z257,G4:G133)</f>
        <v>25</v>
      </c>
      <c r="AG257" s="19">
        <f t="shared" si="204"/>
        <v>-8</v>
      </c>
      <c r="AH257" s="19">
        <f t="shared" si="205"/>
        <v>11</v>
      </c>
      <c r="AI257" s="19">
        <f t="shared" si="203"/>
        <v>10999.937</v>
      </c>
      <c r="AJ257" s="2"/>
      <c r="AW257" s="7"/>
    </row>
    <row r="258" spans="1:49" x14ac:dyDescent="0.25">
      <c r="A258" s="1"/>
      <c r="B258" s="2">
        <f t="shared" ref="B258:B320" si="211">IF(G258="","",IF(G258&gt;H258,3,IF(G258=H258,1,0)))</f>
        <v>1</v>
      </c>
      <c r="D258" s="61">
        <f t="shared" si="207"/>
        <v>2</v>
      </c>
      <c r="F258" s="9" t="s">
        <v>81</v>
      </c>
      <c r="G258" s="10">
        <v>1</v>
      </c>
      <c r="H258" s="10">
        <v>1</v>
      </c>
      <c r="I258" s="9" t="s">
        <v>83</v>
      </c>
      <c r="J258" s="6"/>
      <c r="K258" s="61">
        <f t="shared" si="208"/>
        <v>5</v>
      </c>
      <c r="M258" s="2">
        <f t="shared" si="206"/>
        <v>1</v>
      </c>
      <c r="O258" s="2" t="str">
        <f t="shared" si="161"/>
        <v>N</v>
      </c>
      <c r="P258" s="2" t="str">
        <f t="shared" si="162"/>
        <v>N</v>
      </c>
      <c r="S258" s="2" t="str">
        <f t="shared" si="209"/>
        <v>RB LeipzigBayer Leverkusen</v>
      </c>
      <c r="T258" s="2" t="str">
        <f t="shared" si="210"/>
        <v>1-1</v>
      </c>
      <c r="V258" s="2" t="str">
        <f t="shared" si="202"/>
        <v>RB Leipzig</v>
      </c>
      <c r="W258" s="2">
        <f t="shared" si="196"/>
        <v>2</v>
      </c>
      <c r="Y258" s="19">
        <f>RANK(AI258,$AI$245:$AI$262,0)+COUNTIF($AI$244:AI257,AI258)</f>
        <v>2</v>
      </c>
      <c r="Z258" s="19" t="str">
        <f t="shared" si="197"/>
        <v>RB Leipzig</v>
      </c>
      <c r="AA258" s="19">
        <f>COUNTIFS(F4:F133,Z258,G4:G133,"&gt;=0")+COUNTIFS(I4:I133,Z258,H4:H133,"&gt;=0")</f>
        <v>12</v>
      </c>
      <c r="AB258" s="19">
        <f>COUNTIFS(F4:F133,Z258,B4:B133,3)+COUNTIFS(I4:I133,Z258,M4:M133,3)</f>
        <v>7</v>
      </c>
      <c r="AC258" s="19">
        <f>COUNTIFS(F4:F133,Z258,B4:B133,1)+COUNTIFS(I4:I133,Z258,M4:M133,1)</f>
        <v>3</v>
      </c>
      <c r="AD258" s="19">
        <f>COUNTIFS(F4:F133,Z258,B4:B133,0)+COUNTIFS(I4:I133,Z258,M4:M133,0)</f>
        <v>2</v>
      </c>
      <c r="AE258" s="19">
        <f>SUMIF(F4:F133,Z258,G4:G133)+SUMIF(I4:I133,Z258,H4:H133)</f>
        <v>33</v>
      </c>
      <c r="AF258" s="19">
        <f>SUMIF(F4:F133,Z258,H4:H133)+SUMIF(I4:I133,Z258,G4:G133)</f>
        <v>13</v>
      </c>
      <c r="AG258" s="19">
        <f t="shared" si="204"/>
        <v>20</v>
      </c>
      <c r="AH258" s="19">
        <f t="shared" si="205"/>
        <v>24</v>
      </c>
      <c r="AI258" s="19">
        <f t="shared" si="203"/>
        <v>24000.233</v>
      </c>
      <c r="AJ258" s="2"/>
      <c r="AW258" s="7"/>
    </row>
    <row r="259" spans="1:49" x14ac:dyDescent="0.25">
      <c r="A259" s="1"/>
      <c r="B259" s="2">
        <f t="shared" si="211"/>
        <v>0</v>
      </c>
      <c r="D259" s="61">
        <f t="shared" si="207"/>
        <v>12</v>
      </c>
      <c r="F259" s="9" t="s">
        <v>92</v>
      </c>
      <c r="G259" s="10">
        <v>2</v>
      </c>
      <c r="H259" s="10">
        <v>3</v>
      </c>
      <c r="I259" s="9" t="s">
        <v>82</v>
      </c>
      <c r="J259" s="6"/>
      <c r="K259" s="61">
        <f t="shared" si="208"/>
        <v>4</v>
      </c>
      <c r="M259" s="2">
        <f t="shared" si="206"/>
        <v>3</v>
      </c>
      <c r="O259" s="2" t="str">
        <f t="shared" si="161"/>
        <v>P</v>
      </c>
      <c r="P259" s="2" t="str">
        <f t="shared" si="162"/>
        <v>G</v>
      </c>
      <c r="S259" s="2" t="str">
        <f t="shared" si="209"/>
        <v>FC AugsburgBor. Mönchengladbach</v>
      </c>
      <c r="T259" s="2" t="str">
        <f t="shared" si="210"/>
        <v>2-3</v>
      </c>
      <c r="V259" s="2" t="str">
        <f t="shared" si="202"/>
        <v>SC Freiburg</v>
      </c>
      <c r="W259" s="2">
        <f t="shared" si="196"/>
        <v>4</v>
      </c>
      <c r="Y259" s="19">
        <f>RANK(AI259,$AI$245:$AI$262,0)+COUNTIF($AI$244:AI258,AI259)</f>
        <v>4</v>
      </c>
      <c r="Z259" s="19" t="str">
        <f t="shared" si="197"/>
        <v>SC Freiburg</v>
      </c>
      <c r="AA259" s="19">
        <f>COUNTIFS(F4:F133,Z259,G4:G133,"&gt;=0")+COUNTIFS(I4:I133,Z259,H4:H133,"&gt;=0")</f>
        <v>12</v>
      </c>
      <c r="AB259" s="19">
        <f>COUNTIFS(F4:F133,Z259,B4:B133,3)+COUNTIFS(I4:I133,Z259,M4:M133,3)</f>
        <v>6</v>
      </c>
      <c r="AC259" s="19">
        <f>COUNTIFS(F4:F133,Z259,B4:B133,1)+COUNTIFS(I4:I133,Z259,M4:M133,1)</f>
        <v>4</v>
      </c>
      <c r="AD259" s="19">
        <f>COUNTIFS(F4:F133,Z259,B4:B133,0)+COUNTIFS(I4:I133,Z259,M4:M133,0)</f>
        <v>2</v>
      </c>
      <c r="AE259" s="19">
        <f>SUMIF(F4:F133,Z259,G4:G133)+SUMIF(I4:I133,Z259,H4:H133)</f>
        <v>21</v>
      </c>
      <c r="AF259" s="19">
        <f>SUMIF(F4:F133,Z259,H4:H133)+SUMIF(I4:I133,Z259,G4:G133)</f>
        <v>13</v>
      </c>
      <c r="AG259" s="19">
        <f t="shared" si="204"/>
        <v>8</v>
      </c>
      <c r="AH259" s="19">
        <f t="shared" si="205"/>
        <v>22</v>
      </c>
      <c r="AI259" s="19">
        <f t="shared" si="203"/>
        <v>22000.101000000002</v>
      </c>
      <c r="AJ259" s="2"/>
      <c r="AW259" s="7"/>
    </row>
    <row r="260" spans="1:49" x14ac:dyDescent="0.25">
      <c r="A260" s="1"/>
      <c r="B260" s="2">
        <f t="shared" si="211"/>
        <v>1</v>
      </c>
      <c r="D260" s="61">
        <f t="shared" si="207"/>
        <v>10</v>
      </c>
      <c r="F260" s="9" t="s">
        <v>162</v>
      </c>
      <c r="G260" s="10">
        <v>2</v>
      </c>
      <c r="H260" s="10">
        <v>2</v>
      </c>
      <c r="I260" s="9" t="s">
        <v>85</v>
      </c>
      <c r="J260" s="6"/>
      <c r="K260" s="61">
        <f t="shared" si="208"/>
        <v>7</v>
      </c>
      <c r="M260" s="2">
        <f t="shared" si="206"/>
        <v>1</v>
      </c>
      <c r="O260" s="2" t="str">
        <f t="shared" si="161"/>
        <v>N</v>
      </c>
      <c r="P260" s="2" t="str">
        <f t="shared" si="162"/>
        <v>N</v>
      </c>
      <c r="S260" s="2" t="str">
        <f t="shared" si="209"/>
        <v>1. FC Union BerlinVfL Wolfsburg</v>
      </c>
      <c r="T260" s="2" t="str">
        <f t="shared" si="210"/>
        <v>2-2</v>
      </c>
      <c r="V260" s="2" t="str">
        <f t="shared" si="202"/>
        <v>SC Paderborn 07</v>
      </c>
      <c r="W260" s="2">
        <f t="shared" si="196"/>
        <v>18</v>
      </c>
      <c r="Y260" s="19">
        <f>RANK(AI260,$AI$245:$AI$262,0)+COUNTIF($AI$244:AI259,AI260)</f>
        <v>18</v>
      </c>
      <c r="Z260" s="19" t="str">
        <f t="shared" si="197"/>
        <v>SC Paderborn 07</v>
      </c>
      <c r="AA260" s="19">
        <f>COUNTIFS(F4:F133,Z260,G4:G133,"&gt;=0")+COUNTIFS(I4:I133,Z260,H4:H133,"&gt;=0")</f>
        <v>12</v>
      </c>
      <c r="AB260" s="19">
        <f>COUNTIFS(F4:F133,Z260,B4:B133,3)+COUNTIFS(I4:I133,Z260,M4:M133,3)</f>
        <v>1</v>
      </c>
      <c r="AC260" s="19">
        <f>COUNTIFS(F4:F133,Z260,B4:B133,1)+COUNTIFS(I4:I133,Z260,M4:M133,1)</f>
        <v>2</v>
      </c>
      <c r="AD260" s="19">
        <f>COUNTIFS(F4:F133,Z260,B4:B133,0)+COUNTIFS(I4:I133,Z260,M4:M133,0)</f>
        <v>9</v>
      </c>
      <c r="AE260" s="19">
        <f>SUMIF(F4:F133,Z260,G4:G133)+SUMIF(I4:I133,Z260,H4:H133)</f>
        <v>14</v>
      </c>
      <c r="AF260" s="19">
        <f>SUMIF(F4:F133,Z260,H4:H133)+SUMIF(I4:I133,Z260,G4:G133)</f>
        <v>29</v>
      </c>
      <c r="AG260" s="19">
        <f t="shared" si="204"/>
        <v>-15</v>
      </c>
      <c r="AH260" s="19">
        <f t="shared" si="205"/>
        <v>5</v>
      </c>
      <c r="AI260" s="19">
        <f t="shared" si="203"/>
        <v>4999.8640000000005</v>
      </c>
      <c r="AJ260" s="2"/>
      <c r="AW260" s="7"/>
    </row>
    <row r="261" spans="1:49" x14ac:dyDescent="0.25">
      <c r="A261" s="1"/>
      <c r="B261" s="2" t="str">
        <f t="shared" si="211"/>
        <v/>
      </c>
      <c r="D261" s="61">
        <f t="shared" si="207"/>
        <v>17</v>
      </c>
      <c r="F261" s="9" t="s">
        <v>87</v>
      </c>
      <c r="G261" s="10"/>
      <c r="H261" s="10"/>
      <c r="I261" s="9" t="s">
        <v>84</v>
      </c>
      <c r="J261" s="6"/>
      <c r="K261" s="61">
        <f t="shared" si="208"/>
        <v>11</v>
      </c>
      <c r="M261" s="2" t="str">
        <f t="shared" si="206"/>
        <v/>
      </c>
      <c r="O261" s="2" t="str">
        <f t="shared" ref="O261:O324" si="212">IF(B261="","",IF(B261=1,"N",IF(B261=0,"P",IF(B261=3,"G"))))</f>
        <v/>
      </c>
      <c r="P261" s="2" t="str">
        <f t="shared" ref="P261:P324" si="213">IF(M261="","",IF(M261=1,"N",IF(M261=0,"P",IF(M261=3,"G"))))</f>
        <v/>
      </c>
      <c r="S261" s="2" t="str">
        <f t="shared" si="209"/>
        <v/>
      </c>
      <c r="T261" s="2" t="str">
        <f t="shared" si="210"/>
        <v/>
      </c>
      <c r="V261" s="2" t="str">
        <f t="shared" si="202"/>
        <v>VfL Wolfsburg</v>
      </c>
      <c r="W261" s="2">
        <f t="shared" si="196"/>
        <v>7</v>
      </c>
      <c r="Y261" s="19">
        <f>RANK(AI261,$AI$245:$AI$262,0)+COUNTIF($AI$244:AI260,AI261)</f>
        <v>7</v>
      </c>
      <c r="Z261" s="19" t="str">
        <f t="shared" si="197"/>
        <v>VfL Wolfsburg</v>
      </c>
      <c r="AA261" s="19">
        <f>COUNTIFS(F4:F133,Z261,G4:G133,"&gt;=0")+COUNTIFS(I4:I133,Z261,H4:H133,"&gt;=0")</f>
        <v>12</v>
      </c>
      <c r="AB261" s="19">
        <f>COUNTIFS(F4:F133,Z261,B4:B133,3)+COUNTIFS(I4:I133,Z261,M4:M133,3)</f>
        <v>5</v>
      </c>
      <c r="AC261" s="19">
        <f>COUNTIFS(F4:F133,Z261,B4:B133,1)+COUNTIFS(I4:I133,Z261,M4:M133,1)</f>
        <v>5</v>
      </c>
      <c r="AD261" s="19">
        <f>COUNTIFS(F4:F133,Z261,B4:B133,0)+COUNTIFS(I4:I133,Z261,M4:M133,0)</f>
        <v>2</v>
      </c>
      <c r="AE261" s="19">
        <f>SUMIF(F4:F133,Z261,G4:G133)+SUMIF(I4:I133,Z261,H4:H133)</f>
        <v>13</v>
      </c>
      <c r="AF261" s="19">
        <f>SUMIF(F4:F133,Z261,H4:H133)+SUMIF(I4:I133,Z261,G4:G133)</f>
        <v>10</v>
      </c>
      <c r="AG261" s="19">
        <f t="shared" si="204"/>
        <v>3</v>
      </c>
      <c r="AH261" s="19">
        <f t="shared" si="205"/>
        <v>20</v>
      </c>
      <c r="AI261" s="19">
        <f t="shared" si="203"/>
        <v>20000.042999999998</v>
      </c>
      <c r="AJ261" s="2"/>
      <c r="AW261" s="7"/>
    </row>
    <row r="262" spans="1:49" x14ac:dyDescent="0.25">
      <c r="A262" s="1"/>
      <c r="B262" s="2">
        <f t="shared" si="211"/>
        <v>1</v>
      </c>
      <c r="D262" s="61">
        <f t="shared" si="207"/>
        <v>16</v>
      </c>
      <c r="F262" s="9" t="s">
        <v>89</v>
      </c>
      <c r="G262" s="10">
        <v>3</v>
      </c>
      <c r="H262" s="10">
        <v>3</v>
      </c>
      <c r="I262" s="9" t="s">
        <v>88</v>
      </c>
      <c r="J262" s="6"/>
      <c r="K262" s="61">
        <f t="shared" si="208"/>
        <v>14</v>
      </c>
      <c r="M262" s="2">
        <f t="shared" si="206"/>
        <v>1</v>
      </c>
      <c r="O262" s="2" t="str">
        <f t="shared" si="212"/>
        <v>N</v>
      </c>
      <c r="P262" s="2" t="str">
        <f t="shared" si="213"/>
        <v>N</v>
      </c>
      <c r="S262" s="2" t="str">
        <f t="shared" si="209"/>
        <v>Fortuna DüsseldorfHertha BSC</v>
      </c>
      <c r="T262" s="2" t="str">
        <f t="shared" si="210"/>
        <v>3-3</v>
      </c>
      <c r="V262" s="2" t="str">
        <f t="shared" si="202"/>
        <v>Werder Bremen</v>
      </c>
      <c r="W262" s="2">
        <f t="shared" si="196"/>
        <v>14</v>
      </c>
      <c r="Y262" s="19">
        <f>RANK(AI262,$AI$245:$AI$262,0)+COUNTIF($AI$244:AI261,AI262)</f>
        <v>14</v>
      </c>
      <c r="Z262" s="19" t="str">
        <f t="shared" si="197"/>
        <v>Werder Bremen</v>
      </c>
      <c r="AA262" s="19">
        <f>COUNTIFS(F4:F133,Z262,G4:G133,"&gt;=0")+COUNTIFS(I4:I133,Z262,H4:H133,"&gt;=0")</f>
        <v>12</v>
      </c>
      <c r="AB262" s="19">
        <f>COUNTIFS(F4:F133,Z262,B4:B133,3)+COUNTIFS(I4:I133,Z262,M4:M133,3)</f>
        <v>2</v>
      </c>
      <c r="AC262" s="19">
        <f>COUNTIFS(F4:F133,Z262,B4:B133,1)+COUNTIFS(I4:I133,Z262,M4:M133,1)</f>
        <v>5</v>
      </c>
      <c r="AD262" s="19">
        <f>COUNTIFS(F4:F133,Z262,B4:B133,0)+COUNTIFS(I4:I133,Z262,M4:M133,0)</f>
        <v>5</v>
      </c>
      <c r="AE262" s="19">
        <f>SUMIF(F4:F133,Z262,G4:G133)+SUMIF(I4:I133,Z262,H4:H133)</f>
        <v>19</v>
      </c>
      <c r="AF262" s="19">
        <f>SUMIF(F4:F133,Z262,H4:H133)+SUMIF(I4:I133,Z262,G4:G133)</f>
        <v>26</v>
      </c>
      <c r="AG262" s="19">
        <f t="shared" si="204"/>
        <v>-7</v>
      </c>
      <c r="AH262" s="19">
        <f t="shared" si="205"/>
        <v>11</v>
      </c>
      <c r="AI262" s="19">
        <f t="shared" si="203"/>
        <v>10999.949000000001</v>
      </c>
      <c r="AJ262" s="2"/>
      <c r="AW262" s="7"/>
    </row>
    <row r="263" spans="1:49" x14ac:dyDescent="0.25">
      <c r="A263" s="1"/>
      <c r="B263" s="2">
        <f t="shared" si="211"/>
        <v>3</v>
      </c>
      <c r="D263" s="61">
        <f t="shared" si="207"/>
        <v>3</v>
      </c>
      <c r="F263" s="9" t="s">
        <v>80</v>
      </c>
      <c r="G263" s="10">
        <v>1</v>
      </c>
      <c r="H263" s="10">
        <v>0</v>
      </c>
      <c r="I263" s="9" t="s">
        <v>91</v>
      </c>
      <c r="J263" s="6"/>
      <c r="K263" s="61">
        <f t="shared" si="208"/>
        <v>9</v>
      </c>
      <c r="M263" s="2">
        <f t="shared" si="206"/>
        <v>0</v>
      </c>
      <c r="O263" s="2" t="str">
        <f t="shared" si="212"/>
        <v>G</v>
      </c>
      <c r="P263" s="2" t="str">
        <f t="shared" si="213"/>
        <v>P</v>
      </c>
      <c r="S263" s="2" t="str">
        <f t="shared" si="209"/>
        <v>Borussia DortmundSC Freiburg</v>
      </c>
      <c r="T263" s="2" t="str">
        <f t="shared" si="210"/>
        <v>1-0</v>
      </c>
      <c r="AJ263" s="2"/>
      <c r="AW263" s="7"/>
    </row>
    <row r="264" spans="1:49" x14ac:dyDescent="0.25">
      <c r="A264" s="1"/>
      <c r="B264" s="2">
        <f t="shared" si="211"/>
        <v>3</v>
      </c>
      <c r="D264" s="61">
        <f t="shared" si="207"/>
        <v>13</v>
      </c>
      <c r="F264" s="9" t="s">
        <v>161</v>
      </c>
      <c r="G264" s="10">
        <v>3</v>
      </c>
      <c r="H264" s="10">
        <v>0</v>
      </c>
      <c r="I264" s="9" t="s">
        <v>93</v>
      </c>
      <c r="J264" s="6"/>
      <c r="K264" s="61">
        <f t="shared" si="208"/>
        <v>6</v>
      </c>
      <c r="M264" s="2">
        <f t="shared" si="206"/>
        <v>0</v>
      </c>
      <c r="O264" s="2" t="str">
        <f t="shared" si="212"/>
        <v>G</v>
      </c>
      <c r="P264" s="2" t="str">
        <f t="shared" si="213"/>
        <v>P</v>
      </c>
      <c r="S264" s="2" t="str">
        <f t="shared" si="209"/>
        <v>1. FC KölnFC Schalke 04</v>
      </c>
      <c r="T264" s="2" t="str">
        <f t="shared" si="210"/>
        <v>3-0</v>
      </c>
      <c r="W264" s="18">
        <v>13</v>
      </c>
      <c r="Y264" s="19"/>
      <c r="Z264" s="19" t="s">
        <v>1</v>
      </c>
      <c r="AA264" s="19" t="s">
        <v>2</v>
      </c>
      <c r="AB264" s="19" t="s">
        <v>3</v>
      </c>
      <c r="AC264" s="19" t="s">
        <v>4</v>
      </c>
      <c r="AD264" s="19" t="s">
        <v>5</v>
      </c>
      <c r="AE264" s="19" t="s">
        <v>6</v>
      </c>
      <c r="AF264" s="19" t="s">
        <v>7</v>
      </c>
      <c r="AG264" s="19" t="s">
        <v>8</v>
      </c>
      <c r="AH264" s="19" t="s">
        <v>9</v>
      </c>
      <c r="AI264" s="19" t="s">
        <v>0</v>
      </c>
      <c r="AJ264" s="2"/>
      <c r="AW264" s="7"/>
    </row>
    <row r="265" spans="1:49" x14ac:dyDescent="0.25">
      <c r="A265" s="1"/>
      <c r="B265" s="2">
        <f t="shared" si="211"/>
        <v>3</v>
      </c>
      <c r="D265" s="61">
        <f t="shared" si="207"/>
        <v>15</v>
      </c>
      <c r="F265" s="9" t="s">
        <v>90</v>
      </c>
      <c r="G265" s="10">
        <v>2</v>
      </c>
      <c r="H265" s="10">
        <v>0</v>
      </c>
      <c r="I265" s="9" t="s">
        <v>148</v>
      </c>
      <c r="J265" s="6"/>
      <c r="K265" s="61">
        <f t="shared" si="208"/>
        <v>18</v>
      </c>
      <c r="M265" s="2">
        <f t="shared" si="206"/>
        <v>0</v>
      </c>
      <c r="O265" s="2" t="str">
        <f t="shared" si="212"/>
        <v>G</v>
      </c>
      <c r="P265" s="2" t="str">
        <f t="shared" si="213"/>
        <v>P</v>
      </c>
      <c r="S265" s="2" t="str">
        <f t="shared" si="209"/>
        <v>1. FSV Mainz 05SC Paderborn 07</v>
      </c>
      <c r="T265" s="2" t="str">
        <f t="shared" si="210"/>
        <v>2-0</v>
      </c>
      <c r="V265" s="2" t="str">
        <f>CONCATENATE(Z265)</f>
        <v>1. FC Köln</v>
      </c>
      <c r="W265" s="2">
        <f t="shared" ref="W265:W282" si="214">Y265</f>
        <v>17</v>
      </c>
      <c r="Y265" s="19">
        <f>RANK(AI265,$AI$265:$AI$282,0)+COUNTIF($AI$264:AI264,AI265)</f>
        <v>17</v>
      </c>
      <c r="Z265" s="19" t="str">
        <f t="shared" ref="Z265:Z282" si="215">CONCATENATE(Z5)</f>
        <v>1. FC Köln</v>
      </c>
      <c r="AA265" s="19">
        <f>COUNTIFS(F4:F144,Z265,G4:G144,"&gt;=0")+COUNTIFS(I4:I144,Z265,H4:H144,"&gt;=0")</f>
        <v>13</v>
      </c>
      <c r="AB265" s="19">
        <f>COUNTIFS(F4:F144,Z265,B4:B144,3)+COUNTIFS(I4:I144,Z265,M4:M144,3)</f>
        <v>2</v>
      </c>
      <c r="AC265" s="19">
        <f>COUNTIFS(F4:F144,Z265,B4:B144,1)+COUNTIFS(I4:I144,Z265,M4:M144,1)</f>
        <v>2</v>
      </c>
      <c r="AD265" s="19">
        <f>COUNTIFS(F4:F144,Z265,B4:B144,0)+COUNTIFS(I4:I144,Z265,M4:M144,0)</f>
        <v>9</v>
      </c>
      <c r="AE265" s="19">
        <f>SUMIF(F4:F144,Z265,G4:G144)+SUMIF(I4:I144,Z265,H4:H144)</f>
        <v>12</v>
      </c>
      <c r="AF265" s="19">
        <f>SUMIF(F4:F144,Z265,H4:H144)+SUMIF(I4:I144,Z265,G4:G144)</f>
        <v>28</v>
      </c>
      <c r="AG265" s="19">
        <f>+AE265-AF265</f>
        <v>-16</v>
      </c>
      <c r="AH265" s="19">
        <f>(AB265*3)+AC265</f>
        <v>8</v>
      </c>
      <c r="AI265" s="19">
        <f>SUM(AH265*1000+(AG265)/100+(AE265)/1000)</f>
        <v>7999.8519999999999</v>
      </c>
      <c r="AJ265" s="2"/>
      <c r="AW265" s="7"/>
    </row>
    <row r="266" spans="1:49" x14ac:dyDescent="0.25">
      <c r="A266" s="1"/>
      <c r="F266" s="107"/>
      <c r="G266" s="108"/>
      <c r="H266" s="108"/>
      <c r="I266" s="107"/>
      <c r="J266" s="6"/>
      <c r="O266" s="2" t="str">
        <f t="shared" si="212"/>
        <v/>
      </c>
      <c r="P266" s="2" t="str">
        <f t="shared" si="213"/>
        <v/>
      </c>
      <c r="V266" s="2" t="str">
        <f t="shared" ref="V266:V282" si="216">CONCATENATE(Z266)</f>
        <v>1. FC Union Berlin</v>
      </c>
      <c r="W266" s="2">
        <f t="shared" si="214"/>
        <v>11</v>
      </c>
      <c r="Y266" s="19">
        <f>RANK(AI266,$AI$265:$AI$282,0)+COUNTIF($AI$264:AI265,AI266)</f>
        <v>11</v>
      </c>
      <c r="Z266" s="19" t="str">
        <f t="shared" si="215"/>
        <v>1. FC Union Berlin</v>
      </c>
      <c r="AA266" s="19">
        <f>COUNTIFS(F4:F144,Z266,G4:G144,"&gt;=0")+COUNTIFS(I4:I144,Z266,H4:H144,"&gt;=0")</f>
        <v>13</v>
      </c>
      <c r="AB266" s="19">
        <f>COUNTIFS(F4:F144,Z266,B4:B144,3)+COUNTIFS(I4:I144,Z266,M4:M144,3)</f>
        <v>5</v>
      </c>
      <c r="AC266" s="19">
        <f>COUNTIFS(F4:F144,Z266,B4:B144,1)+COUNTIFS(I4:I144,Z266,M4:M144,1)</f>
        <v>1</v>
      </c>
      <c r="AD266" s="19">
        <f>COUNTIFS(F4:F144,Z266,B4:B144,0)+COUNTIFS(I4:I144,Z266,M4:M144,0)</f>
        <v>7</v>
      </c>
      <c r="AE266" s="19">
        <f>SUMIF(F4:F144,Z266,G4:G144)+SUMIF(I4:I144,Z266,H4:H144)</f>
        <v>16</v>
      </c>
      <c r="AF266" s="19">
        <f>SUMIF(F4:F144,Z266,H4:H144)+SUMIF(I4:I144,Z266,G4:G144)</f>
        <v>19</v>
      </c>
      <c r="AG266" s="19">
        <f>+AE266-AF266</f>
        <v>-3</v>
      </c>
      <c r="AH266" s="19">
        <f>(AB266*3)+AC266</f>
        <v>16</v>
      </c>
      <c r="AI266" s="19">
        <f t="shared" ref="AI266:AI282" si="217">SUM(AH266*1000+(AG266)/100+(AE266)/1000)</f>
        <v>15999.985999999999</v>
      </c>
      <c r="AJ266" s="2"/>
      <c r="AW266" s="7"/>
    </row>
    <row r="267" spans="1:49" x14ac:dyDescent="0.25">
      <c r="A267" s="1"/>
      <c r="B267" s="2" t="str">
        <f t="shared" si="211"/>
        <v/>
      </c>
      <c r="F267" s="154" t="s">
        <v>64</v>
      </c>
      <c r="G267" s="154"/>
      <c r="H267" s="154"/>
      <c r="I267" s="154"/>
      <c r="J267" s="6"/>
      <c r="M267" s="2" t="str">
        <f t="shared" ref="M267:M276" si="218">IF(H267="","",IF(H267&gt;G267,3,IF(H267=G267,1,0)))</f>
        <v/>
      </c>
      <c r="O267" s="2" t="str">
        <f t="shared" si="212"/>
        <v/>
      </c>
      <c r="P267" s="2" t="str">
        <f t="shared" si="213"/>
        <v/>
      </c>
      <c r="V267" s="2" t="str">
        <f t="shared" si="216"/>
        <v>1. FSV Mainz 05</v>
      </c>
      <c r="W267" s="2">
        <f t="shared" si="214"/>
        <v>12</v>
      </c>
      <c r="Y267" s="19">
        <f>RANK(AI267,$AI$265:$AI$282,0)+COUNTIF($AI$264:AI266,AI267)</f>
        <v>12</v>
      </c>
      <c r="Z267" s="19" t="str">
        <f t="shared" si="215"/>
        <v>1. FSV Mainz 05</v>
      </c>
      <c r="AA267" s="19">
        <f>COUNTIFS(F4:F144,Z267,G4:G144,"&gt;=0")+COUNTIFS(I4:I144,Z267,H4:H144,"&gt;=0")</f>
        <v>13</v>
      </c>
      <c r="AB267" s="19">
        <f>COUNTIFS(F4:F144,Z267,B4:B144,3)+COUNTIFS(I4:I144,Z267,M4:M144,3)</f>
        <v>5</v>
      </c>
      <c r="AC267" s="19">
        <f>COUNTIFS(F4:F144,Z267,B4:B144,1)+COUNTIFS(I4:I144,Z267,M4:M144,1)</f>
        <v>0</v>
      </c>
      <c r="AD267" s="19">
        <f>COUNTIFS(F4:F144,Z267,B4:B144,0)+COUNTIFS(I4:I144,Z267,M4:M144,0)</f>
        <v>8</v>
      </c>
      <c r="AE267" s="19">
        <f>SUMIF(F4:F144,Z267,G4:G144)+SUMIF(I4:I144,Z267,H4:H144)</f>
        <v>19</v>
      </c>
      <c r="AF267" s="19">
        <f>SUMIF(F4:F144,Z267,H4:H144)+SUMIF(I4:I144,Z267,G4:G144)</f>
        <v>32</v>
      </c>
      <c r="AG267" s="19">
        <f>+AE267-AF267</f>
        <v>-13</v>
      </c>
      <c r="AH267" s="19">
        <f>(AB267*3)+AC267</f>
        <v>15</v>
      </c>
      <c r="AI267" s="19">
        <f t="shared" si="217"/>
        <v>14999.889000000001</v>
      </c>
      <c r="AW267" s="7"/>
    </row>
    <row r="268" spans="1:49" x14ac:dyDescent="0.25">
      <c r="A268" s="1"/>
      <c r="B268" s="2" t="str">
        <f t="shared" si="211"/>
        <v/>
      </c>
      <c r="D268" s="61">
        <f t="shared" ref="D268:D276" si="219">IFERROR(VLOOKUP(F268,$V$485:$W$502,2,FALSE),"")</f>
        <v>4</v>
      </c>
      <c r="F268" s="9" t="s">
        <v>82</v>
      </c>
      <c r="G268" s="10"/>
      <c r="H268" s="10"/>
      <c r="I268" s="9" t="s">
        <v>80</v>
      </c>
      <c r="J268" s="6"/>
      <c r="K268" s="61">
        <f t="shared" ref="K268:K276" si="220">IFERROR(VLOOKUP(I268,$V$485:$W$502,2,FALSE),"")</f>
        <v>3</v>
      </c>
      <c r="M268" s="2" t="str">
        <f t="shared" si="218"/>
        <v/>
      </c>
      <c r="O268" s="2" t="str">
        <f t="shared" si="212"/>
        <v/>
      </c>
      <c r="P268" s="2" t="str">
        <f t="shared" si="213"/>
        <v/>
      </c>
      <c r="S268" s="2" t="str">
        <f t="shared" ref="S268:S276" si="221">IF(M268&lt;&gt;"",F268&amp;I268,"")</f>
        <v/>
      </c>
      <c r="T268" s="2" t="str">
        <f t="shared" ref="T268:T276" si="222">IF(S268&lt;&gt;"",G268&amp;"-"&amp;H268,"")</f>
        <v/>
      </c>
      <c r="V268" s="2" t="str">
        <f t="shared" si="216"/>
        <v>1899 Hoffenheim</v>
      </c>
      <c r="W268" s="2">
        <f t="shared" si="214"/>
        <v>8</v>
      </c>
      <c r="Y268" s="19">
        <f>RANK(AI268,$AI$265:$AI$282,0)+COUNTIF($AI$264:AI267,AI268)</f>
        <v>8</v>
      </c>
      <c r="Z268" s="19" t="str">
        <f t="shared" si="215"/>
        <v>1899 Hoffenheim</v>
      </c>
      <c r="AA268" s="19">
        <f>COUNTIFS(F4:F144,Z268,G4:G144,"&gt;=0")+COUNTIFS(I4:I144,Z268,H4:H144,"&gt;=0")</f>
        <v>13</v>
      </c>
      <c r="AB268" s="19">
        <f>COUNTIFS(F4:F144,Z268,B4:B144,3)+COUNTIFS(I4:I144,Z268,M4:M144,3)</f>
        <v>6</v>
      </c>
      <c r="AC268" s="19">
        <f>COUNTIFS(F4:F144,Z268,B4:B144,1)+COUNTIFS(I4:I144,Z268,M4:M144,1)</f>
        <v>3</v>
      </c>
      <c r="AD268" s="19">
        <f>COUNTIFS(F4:F144,Z268,B4:B144,0)+COUNTIFS(I4:I144,Z268,M4:M144,0)</f>
        <v>4</v>
      </c>
      <c r="AE268" s="19">
        <f>SUMIF(F4:F144,Z268,G4:G144)+SUMIF(I4:I144,Z268,H4:H144)</f>
        <v>18</v>
      </c>
      <c r="AF268" s="19">
        <f>SUMIF(F4:F144,Z268,H4:H144)+SUMIF(I4:I144,Z268,G4:G144)</f>
        <v>20</v>
      </c>
      <c r="AG268" s="19">
        <f t="shared" ref="AG268:AG282" si="223">+AE268-AF268</f>
        <v>-2</v>
      </c>
      <c r="AH268" s="19">
        <f>(AB268*3)+AC268</f>
        <v>21</v>
      </c>
      <c r="AI268" s="19">
        <f t="shared" si="217"/>
        <v>20999.998</v>
      </c>
      <c r="AJ268" s="2"/>
      <c r="AW268" s="7"/>
    </row>
    <row r="269" spans="1:49" x14ac:dyDescent="0.25">
      <c r="A269" s="1"/>
      <c r="B269" s="2" t="str">
        <f t="shared" si="211"/>
        <v/>
      </c>
      <c r="D269" s="61">
        <f t="shared" si="219"/>
        <v>7</v>
      </c>
      <c r="F269" s="9" t="s">
        <v>85</v>
      </c>
      <c r="G269" s="10"/>
      <c r="H269" s="10"/>
      <c r="I269" s="9" t="s">
        <v>81</v>
      </c>
      <c r="J269" s="6"/>
      <c r="K269" s="61">
        <f t="shared" si="220"/>
        <v>2</v>
      </c>
      <c r="M269" s="2" t="str">
        <f t="shared" si="218"/>
        <v/>
      </c>
      <c r="O269" s="2" t="str">
        <f t="shared" si="212"/>
        <v/>
      </c>
      <c r="P269" s="2" t="str">
        <f t="shared" si="213"/>
        <v/>
      </c>
      <c r="S269" s="2" t="str">
        <f t="shared" si="221"/>
        <v/>
      </c>
      <c r="T269" s="2" t="str">
        <f t="shared" si="222"/>
        <v/>
      </c>
      <c r="V269" s="2" t="str">
        <f t="shared" si="216"/>
        <v>Bayer Leverkusen</v>
      </c>
      <c r="W269" s="2">
        <f t="shared" si="214"/>
        <v>7</v>
      </c>
      <c r="Y269" s="19">
        <f>RANK(AI269,$AI$265:$AI$282,0)+COUNTIF($AI$264:AI268,AI269)</f>
        <v>7</v>
      </c>
      <c r="Z269" s="19" t="str">
        <f t="shared" si="215"/>
        <v>Bayer Leverkusen</v>
      </c>
      <c r="AA269" s="19">
        <f>COUNTIFS(F4:F144,Z269,G4:G144,"&gt;=0")+COUNTIFS(I4:I144,Z269,H4:H144,"&gt;=0")</f>
        <v>13</v>
      </c>
      <c r="AB269" s="19">
        <f>COUNTIFS(F4:F144,Z269,B4:B144,3)+COUNTIFS(I4:I144,Z269,M4:M144,3)</f>
        <v>6</v>
      </c>
      <c r="AC269" s="19">
        <f>COUNTIFS(F4:F144,Z269,B4:B144,1)+COUNTIFS(I4:I144,Z269,M4:M144,1)</f>
        <v>4</v>
      </c>
      <c r="AD269" s="19">
        <f>COUNTIFS(F4:F144,Z269,B4:B144,0)+COUNTIFS(I4:I144,Z269,M4:M144,0)</f>
        <v>3</v>
      </c>
      <c r="AE269" s="19">
        <f>SUMIF(F4:F144,Z269,G4:G144)+SUMIF(I4:I144,Z269,H4:H144)</f>
        <v>20</v>
      </c>
      <c r="AF269" s="19">
        <f>SUMIF(F4:F144,Z269,H4:H144)+SUMIF(I4:I144,Z269,G4:G144)</f>
        <v>17</v>
      </c>
      <c r="AG269" s="19">
        <f t="shared" si="223"/>
        <v>3</v>
      </c>
      <c r="AH269" s="19">
        <f>(AB269*3)+AC269</f>
        <v>22</v>
      </c>
      <c r="AI269" s="19">
        <f t="shared" si="217"/>
        <v>22000.05</v>
      </c>
      <c r="AJ269" s="2"/>
      <c r="AW269" s="7"/>
    </row>
    <row r="270" spans="1:49" x14ac:dyDescent="0.25">
      <c r="A270" s="1"/>
      <c r="B270" s="2" t="str">
        <f t="shared" si="211"/>
        <v/>
      </c>
      <c r="D270" s="61">
        <f t="shared" si="219"/>
        <v>5</v>
      </c>
      <c r="F270" s="9" t="s">
        <v>83</v>
      </c>
      <c r="G270" s="10"/>
      <c r="H270" s="10"/>
      <c r="I270" s="9" t="s">
        <v>84</v>
      </c>
      <c r="J270" s="6"/>
      <c r="K270" s="61">
        <f t="shared" si="220"/>
        <v>12</v>
      </c>
      <c r="M270" s="2" t="str">
        <f t="shared" si="218"/>
        <v/>
      </c>
      <c r="O270" s="2" t="str">
        <f t="shared" si="212"/>
        <v/>
      </c>
      <c r="P270" s="2" t="str">
        <f t="shared" si="213"/>
        <v/>
      </c>
      <c r="S270" s="2" t="str">
        <f t="shared" si="221"/>
        <v/>
      </c>
      <c r="T270" s="2" t="str">
        <f t="shared" si="222"/>
        <v/>
      </c>
      <c r="V270" s="2" t="str">
        <f t="shared" si="216"/>
        <v>Bayern München</v>
      </c>
      <c r="W270" s="2">
        <f t="shared" si="214"/>
        <v>4</v>
      </c>
      <c r="Y270" s="19">
        <f>RANK(AI270,$AI$265:$AI$282,0)+COUNTIF($AI$264:AI269,AI270)</f>
        <v>4</v>
      </c>
      <c r="Z270" s="19" t="str">
        <f t="shared" si="215"/>
        <v>Bayern München</v>
      </c>
      <c r="AA270" s="19">
        <f>COUNTIFS(F4:F144,Z270,G4:G144,"&gt;=0")+COUNTIFS(I4:I144,Z270,H4:H144,"&gt;=0")</f>
        <v>13</v>
      </c>
      <c r="AB270" s="19">
        <f>COUNTIFS(F4:F144,Z270,B4:B144,3)+COUNTIFS(I4:I144,Z270,M4:M144,3)</f>
        <v>7</v>
      </c>
      <c r="AC270" s="19">
        <f>COUNTIFS(F4:F144,Z270,B4:B144,1)+COUNTIFS(I4:I144,Z270,M4:M144,1)</f>
        <v>3</v>
      </c>
      <c r="AD270" s="19">
        <f>COUNTIFS(F4:F144,Z270,B4:B144,0)+COUNTIFS(I4:I144,Z270,M4:M144,0)</f>
        <v>3</v>
      </c>
      <c r="AE270" s="19">
        <f>SUMIF(F4:F144,Z270,G4:G144)+SUMIF(I4:I144,Z270,H4:H144)</f>
        <v>34</v>
      </c>
      <c r="AF270" s="19">
        <f>SUMIF(F4:F144,Z270,H4:H144)+SUMIF(I4:I144,Z270,G4:G144)</f>
        <v>18</v>
      </c>
      <c r="AG270" s="19">
        <f t="shared" si="223"/>
        <v>16</v>
      </c>
      <c r="AH270" s="19">
        <f t="shared" ref="AH270:AH282" si="224">(AB270*3)+AC270</f>
        <v>24</v>
      </c>
      <c r="AI270" s="19">
        <f t="shared" si="217"/>
        <v>24000.194</v>
      </c>
      <c r="AJ270" s="2"/>
      <c r="AW270" s="7"/>
    </row>
    <row r="271" spans="1:49" x14ac:dyDescent="0.25">
      <c r="A271" s="1"/>
      <c r="B271" s="2" t="str">
        <f t="shared" si="211"/>
        <v/>
      </c>
      <c r="D271" s="61">
        <f t="shared" si="219"/>
        <v>14</v>
      </c>
      <c r="F271" s="9" t="s">
        <v>88</v>
      </c>
      <c r="G271" s="10"/>
      <c r="H271" s="10"/>
      <c r="I271" s="9" t="s">
        <v>87</v>
      </c>
      <c r="J271" s="6"/>
      <c r="K271" s="61">
        <f t="shared" si="220"/>
        <v>17</v>
      </c>
      <c r="M271" s="2" t="str">
        <f t="shared" si="218"/>
        <v/>
      </c>
      <c r="O271" s="2" t="str">
        <f t="shared" si="212"/>
        <v/>
      </c>
      <c r="P271" s="2" t="str">
        <f t="shared" si="213"/>
        <v/>
      </c>
      <c r="S271" s="2" t="str">
        <f t="shared" si="221"/>
        <v/>
      </c>
      <c r="T271" s="2" t="str">
        <f t="shared" si="222"/>
        <v/>
      </c>
      <c r="V271" s="2" t="str">
        <f t="shared" si="216"/>
        <v>Bor. Mönchengladbach</v>
      </c>
      <c r="W271" s="2">
        <f t="shared" si="214"/>
        <v>1</v>
      </c>
      <c r="Y271" s="19">
        <f>RANK(AI271,$AI$265:$AI$282,0)+COUNTIF($AI$264:AI270,AI271)</f>
        <v>1</v>
      </c>
      <c r="Z271" s="19" t="str">
        <f t="shared" si="215"/>
        <v>Bor. Mönchengladbach</v>
      </c>
      <c r="AA271" s="19">
        <f>COUNTIFS(F4:F144,Z271,G4:G144,"&gt;=0")+COUNTIFS(I4:I144,Z271,H4:H144,"&gt;=0")</f>
        <v>13</v>
      </c>
      <c r="AB271" s="19">
        <f>COUNTIFS(F4:F144,Z271,B4:B144,3)+COUNTIFS(I4:I144,Z271,M4:M144,3)</f>
        <v>9</v>
      </c>
      <c r="AC271" s="19">
        <f>COUNTIFS(F4:F144,Z271,B4:B144,1)+COUNTIFS(I4:I144,Z271,M4:M144,1)</f>
        <v>1</v>
      </c>
      <c r="AD271" s="19">
        <f>COUNTIFS(F4:F144,Z271,B4:B144,0)+COUNTIFS(I4:I144,Z271,M4:M144,0)</f>
        <v>3</v>
      </c>
      <c r="AE271" s="19">
        <f>SUMIF(F4:F144,Z271,G4:G144)+SUMIF(I4:I144,Z271,H4:H144)</f>
        <v>28</v>
      </c>
      <c r="AF271" s="19">
        <f>SUMIF(F4:F144,Z271,H4:H144)+SUMIF(I4:I144,Z271,G4:G144)</f>
        <v>15</v>
      </c>
      <c r="AG271" s="19">
        <f t="shared" si="223"/>
        <v>13</v>
      </c>
      <c r="AH271" s="19">
        <f t="shared" si="224"/>
        <v>28</v>
      </c>
      <c r="AI271" s="19">
        <f t="shared" si="217"/>
        <v>28000.157999999999</v>
      </c>
      <c r="AJ271" s="2"/>
      <c r="AW271" s="7"/>
    </row>
    <row r="272" spans="1:49" x14ac:dyDescent="0.25">
      <c r="A272" s="1"/>
      <c r="B272" s="2" t="str">
        <f t="shared" si="211"/>
        <v/>
      </c>
      <c r="D272" s="61">
        <f t="shared" si="219"/>
        <v>6</v>
      </c>
      <c r="F272" s="9" t="s">
        <v>93</v>
      </c>
      <c r="G272" s="10"/>
      <c r="H272" s="10"/>
      <c r="I272" s="9" t="s">
        <v>86</v>
      </c>
      <c r="J272" s="6"/>
      <c r="K272" s="61">
        <f t="shared" si="220"/>
        <v>8</v>
      </c>
      <c r="M272" s="2" t="str">
        <f t="shared" si="218"/>
        <v/>
      </c>
      <c r="O272" s="2" t="str">
        <f t="shared" si="212"/>
        <v/>
      </c>
      <c r="P272" s="2" t="str">
        <f t="shared" si="213"/>
        <v/>
      </c>
      <c r="S272" s="2" t="str">
        <f t="shared" si="221"/>
        <v/>
      </c>
      <c r="T272" s="2" t="str">
        <f t="shared" si="222"/>
        <v/>
      </c>
      <c r="V272" s="2" t="str">
        <f t="shared" si="216"/>
        <v>Borussia Dortmund</v>
      </c>
      <c r="W272" s="2">
        <f t="shared" si="214"/>
        <v>5</v>
      </c>
      <c r="Y272" s="19">
        <f>RANK(AI272,$AI$265:$AI$282,0)+COUNTIF($AI$264:AI271,AI272)</f>
        <v>5</v>
      </c>
      <c r="Z272" s="19" t="str">
        <f t="shared" si="215"/>
        <v>Borussia Dortmund</v>
      </c>
      <c r="AA272" s="19">
        <f>COUNTIFS(F4:F144,Z272,G4:G144,"&gt;=0")+COUNTIFS(I4:I144,Z272,H4:H144,"&gt;=0")</f>
        <v>13</v>
      </c>
      <c r="AB272" s="19">
        <f>COUNTIFS(F4:F144,Z272,B4:B144,3)+COUNTIFS(I4:I144,Z272,M4:M144,3)</f>
        <v>6</v>
      </c>
      <c r="AC272" s="19">
        <f>COUNTIFS(F4:F144,Z272,B4:B144,1)+COUNTIFS(I4:I144,Z272,M4:M144,1)</f>
        <v>5</v>
      </c>
      <c r="AD272" s="19">
        <f>COUNTIFS(F4:F144,Z272,B4:B144,0)+COUNTIFS(I4:I144,Z272,M4:M144,0)</f>
        <v>2</v>
      </c>
      <c r="AE272" s="19">
        <f>SUMIF(F4:F144,Z272,G4:G144)+SUMIF(I4:I144,Z272,H4:H144)</f>
        <v>28</v>
      </c>
      <c r="AF272" s="19">
        <f>SUMIF(F4:F144,Z272,H4:H144)+SUMIF(I4:I144,Z272,G4:G144)</f>
        <v>19</v>
      </c>
      <c r="AG272" s="19">
        <f t="shared" si="223"/>
        <v>9</v>
      </c>
      <c r="AH272" s="19">
        <f t="shared" si="224"/>
        <v>23</v>
      </c>
      <c r="AI272" s="19">
        <f t="shared" si="217"/>
        <v>23000.117999999999</v>
      </c>
      <c r="AJ272" s="2"/>
      <c r="AW272" s="7"/>
    </row>
    <row r="273" spans="1:49" x14ac:dyDescent="0.25">
      <c r="A273" s="1"/>
      <c r="B273" s="2" t="str">
        <f t="shared" si="211"/>
        <v/>
      </c>
      <c r="D273" s="61">
        <f t="shared" si="219"/>
        <v>15</v>
      </c>
      <c r="F273" s="9" t="s">
        <v>90</v>
      </c>
      <c r="G273" s="10"/>
      <c r="H273" s="10"/>
      <c r="I273" s="9" t="s">
        <v>89</v>
      </c>
      <c r="J273" s="6"/>
      <c r="K273" s="61">
        <f t="shared" si="220"/>
        <v>16</v>
      </c>
      <c r="M273" s="2" t="str">
        <f t="shared" si="218"/>
        <v/>
      </c>
      <c r="O273" s="2" t="str">
        <f t="shared" si="212"/>
        <v/>
      </c>
      <c r="P273" s="2" t="str">
        <f t="shared" si="213"/>
        <v/>
      </c>
      <c r="S273" s="2" t="str">
        <f t="shared" si="221"/>
        <v/>
      </c>
      <c r="T273" s="2" t="str">
        <f t="shared" si="222"/>
        <v/>
      </c>
      <c r="V273" s="2" t="str">
        <f t="shared" si="216"/>
        <v>Eintracht Frankfurt</v>
      </c>
      <c r="W273" s="2">
        <f t="shared" si="214"/>
        <v>10</v>
      </c>
      <c r="Y273" s="19">
        <f>RANK(AI273,$AI$265:$AI$282,0)+COUNTIF($AI$264:AI272,AI273)</f>
        <v>10</v>
      </c>
      <c r="Z273" s="19" t="str">
        <f t="shared" si="215"/>
        <v>Eintracht Frankfurt</v>
      </c>
      <c r="AA273" s="19">
        <f>COUNTIFS(F4:F144,Z273,G4:G144,"&gt;=0")+COUNTIFS(I4:I144,Z273,H4:H144,"&gt;=0")</f>
        <v>13</v>
      </c>
      <c r="AB273" s="19">
        <f>COUNTIFS(F4:F144,Z273,B4:B144,3)+COUNTIFS(I4:I144,Z273,M4:M144,3)</f>
        <v>5</v>
      </c>
      <c r="AC273" s="19">
        <f>COUNTIFS(F4:F144,Z273,B4:B144,1)+COUNTIFS(I4:I144,Z273,M4:M144,1)</f>
        <v>2</v>
      </c>
      <c r="AD273" s="19">
        <f>COUNTIFS(F4:F144,Z273,B4:B144,0)+COUNTIFS(I4:I144,Z273,M4:M144,0)</f>
        <v>6</v>
      </c>
      <c r="AE273" s="19">
        <f>SUMIF(F4:F144,Z273,G4:G144)+SUMIF(I4:I144,Z273,H4:H144)</f>
        <v>22</v>
      </c>
      <c r="AF273" s="19">
        <f>SUMIF(F4:F144,Z273,H4:H144)+SUMIF(I4:I144,Z273,G4:G144)</f>
        <v>20</v>
      </c>
      <c r="AG273" s="19">
        <f t="shared" si="223"/>
        <v>2</v>
      </c>
      <c r="AH273" s="19">
        <f t="shared" si="224"/>
        <v>17</v>
      </c>
      <c r="AI273" s="19">
        <f t="shared" si="217"/>
        <v>17000.042000000001</v>
      </c>
      <c r="AJ273" s="2"/>
      <c r="AW273" s="7"/>
    </row>
    <row r="274" spans="1:49" x14ac:dyDescent="0.25">
      <c r="A274" s="1"/>
      <c r="B274" s="2" t="str">
        <f t="shared" si="211"/>
        <v/>
      </c>
      <c r="D274" s="61">
        <f t="shared" si="219"/>
        <v>1</v>
      </c>
      <c r="F274" s="9" t="s">
        <v>79</v>
      </c>
      <c r="G274" s="10"/>
      <c r="H274" s="10"/>
      <c r="I274" s="9" t="s">
        <v>92</v>
      </c>
      <c r="J274" s="6"/>
      <c r="K274" s="61">
        <f t="shared" si="220"/>
        <v>13</v>
      </c>
      <c r="M274" s="2" t="str">
        <f t="shared" si="218"/>
        <v/>
      </c>
      <c r="O274" s="2" t="str">
        <f t="shared" si="212"/>
        <v/>
      </c>
      <c r="P274" s="2" t="str">
        <f t="shared" si="213"/>
        <v/>
      </c>
      <c r="S274" s="2" t="str">
        <f t="shared" si="221"/>
        <v/>
      </c>
      <c r="T274" s="2" t="str">
        <f t="shared" si="222"/>
        <v/>
      </c>
      <c r="V274" s="2" t="str">
        <f t="shared" si="216"/>
        <v>FC Augsburg</v>
      </c>
      <c r="W274" s="2">
        <f t="shared" si="214"/>
        <v>14</v>
      </c>
      <c r="Y274" s="19">
        <f>RANK(AI274,$AI$265:$AI$282,0)+COUNTIF($AI$264:AI273,AI274)</f>
        <v>14</v>
      </c>
      <c r="Z274" s="19" t="str">
        <f t="shared" si="215"/>
        <v>FC Augsburg</v>
      </c>
      <c r="AA274" s="19">
        <f>COUNTIFS(F4:F144,Z274,G4:G144,"&gt;=0")+COUNTIFS(I4:I144,Z274,H4:H144,"&gt;=0")</f>
        <v>13</v>
      </c>
      <c r="AB274" s="19">
        <f>COUNTIFS(F4:F144,Z274,B4:B144,3)+COUNTIFS(I4:I144,Z274,M4:M144,3)</f>
        <v>3</v>
      </c>
      <c r="AC274" s="19">
        <f>COUNTIFS(F4:F144,Z274,B4:B144,1)+COUNTIFS(I4:I144,Z274,M4:M144,1)</f>
        <v>5</v>
      </c>
      <c r="AD274" s="19">
        <f>COUNTIFS(F4:F144,Z274,B4:B144,0)+COUNTIFS(I4:I144,Z274,M4:M144,0)</f>
        <v>5</v>
      </c>
      <c r="AE274" s="19">
        <f>SUMIF(F4:F144,Z274,G4:G144)+SUMIF(I4:I144,Z274,H4:H144)</f>
        <v>18</v>
      </c>
      <c r="AF274" s="19">
        <f>SUMIF(F4:F144,Z274,H4:H144)+SUMIF(I4:I144,Z274,G4:G144)</f>
        <v>25</v>
      </c>
      <c r="AG274" s="19">
        <f t="shared" si="223"/>
        <v>-7</v>
      </c>
      <c r="AH274" s="19">
        <f t="shared" si="224"/>
        <v>14</v>
      </c>
      <c r="AI274" s="19">
        <f t="shared" si="217"/>
        <v>13999.948</v>
      </c>
      <c r="AJ274" s="2"/>
      <c r="AW274" s="7"/>
    </row>
    <row r="275" spans="1:49" x14ac:dyDescent="0.25">
      <c r="A275" s="1"/>
      <c r="B275" s="2" t="str">
        <f t="shared" si="211"/>
        <v/>
      </c>
      <c r="D275" s="61">
        <f t="shared" si="219"/>
        <v>18</v>
      </c>
      <c r="F275" s="9" t="s">
        <v>148</v>
      </c>
      <c r="G275" s="10"/>
      <c r="H275" s="10"/>
      <c r="I275" s="9" t="s">
        <v>161</v>
      </c>
      <c r="J275" s="6"/>
      <c r="K275" s="61">
        <f t="shared" si="220"/>
        <v>11</v>
      </c>
      <c r="M275" s="2" t="str">
        <f t="shared" si="218"/>
        <v/>
      </c>
      <c r="O275" s="2" t="str">
        <f t="shared" si="212"/>
        <v/>
      </c>
      <c r="P275" s="2" t="str">
        <f t="shared" si="213"/>
        <v/>
      </c>
      <c r="S275" s="2" t="str">
        <f t="shared" si="221"/>
        <v/>
      </c>
      <c r="T275" s="2" t="str">
        <f t="shared" si="222"/>
        <v/>
      </c>
      <c r="V275" s="2" t="str">
        <f t="shared" si="216"/>
        <v>FC Schalke 04</v>
      </c>
      <c r="W275" s="2">
        <f t="shared" si="214"/>
        <v>3</v>
      </c>
      <c r="Y275" s="19">
        <f>RANK(AI275,$AI$265:$AI$282,0)+COUNTIF($AI$264:AI274,AI275)</f>
        <v>3</v>
      </c>
      <c r="Z275" s="19" t="str">
        <f t="shared" si="215"/>
        <v>FC Schalke 04</v>
      </c>
      <c r="AA275" s="19">
        <f>COUNTIFS(F4:F144,Z275,G4:G144,"&gt;=0")+COUNTIFS(I4:I144,Z275,H4:H144,"&gt;=0")</f>
        <v>13</v>
      </c>
      <c r="AB275" s="19">
        <f>COUNTIFS(F4:F144,Z275,B4:B144,3)+COUNTIFS(I4:I144,Z275,M4:M144,3)</f>
        <v>7</v>
      </c>
      <c r="AC275" s="19">
        <f>COUNTIFS(F4:F144,Z275,B4:B144,1)+COUNTIFS(I4:I144,Z275,M4:M144,1)</f>
        <v>4</v>
      </c>
      <c r="AD275" s="19">
        <f>COUNTIFS(F4:F144,Z275,B4:B144,0)+COUNTIFS(I4:I144,Z275,M4:M144,0)</f>
        <v>2</v>
      </c>
      <c r="AE275" s="19">
        <f>SUMIF(F4:F144,Z275,G4:G144)+SUMIF(I4:I144,Z275,H4:H144)</f>
        <v>24</v>
      </c>
      <c r="AF275" s="19">
        <f>SUMIF(F4:F144,Z275,H4:H144)+SUMIF(I4:I144,Z275,G4:G144)</f>
        <v>16</v>
      </c>
      <c r="AG275" s="19">
        <f t="shared" si="223"/>
        <v>8</v>
      </c>
      <c r="AH275" s="19">
        <f t="shared" si="224"/>
        <v>25</v>
      </c>
      <c r="AI275" s="19">
        <f t="shared" si="217"/>
        <v>25000.104000000003</v>
      </c>
      <c r="AJ275" s="2"/>
      <c r="AW275" s="7"/>
    </row>
    <row r="276" spans="1:49" x14ac:dyDescent="0.25">
      <c r="A276" s="1"/>
      <c r="B276" s="2" t="str">
        <f t="shared" si="211"/>
        <v/>
      </c>
      <c r="D276" s="61">
        <f t="shared" si="219"/>
        <v>9</v>
      </c>
      <c r="F276" s="9" t="s">
        <v>91</v>
      </c>
      <c r="G276" s="10"/>
      <c r="H276" s="10"/>
      <c r="I276" s="9" t="s">
        <v>162</v>
      </c>
      <c r="J276" s="6"/>
      <c r="K276" s="61">
        <f t="shared" si="220"/>
        <v>10</v>
      </c>
      <c r="M276" s="2" t="str">
        <f t="shared" si="218"/>
        <v/>
      </c>
      <c r="O276" s="2" t="str">
        <f t="shared" si="212"/>
        <v/>
      </c>
      <c r="P276" s="2" t="str">
        <f t="shared" si="213"/>
        <v/>
      </c>
      <c r="S276" s="2" t="str">
        <f t="shared" si="221"/>
        <v/>
      </c>
      <c r="T276" s="2" t="str">
        <f t="shared" si="222"/>
        <v/>
      </c>
      <c r="V276" s="2" t="str">
        <f t="shared" si="216"/>
        <v>Fortuna Düsseldorf</v>
      </c>
      <c r="W276" s="2">
        <f t="shared" si="214"/>
        <v>15</v>
      </c>
      <c r="Y276" s="19">
        <f>RANK(AI276,$AI$265:$AI$282,0)+COUNTIF($AI$264:AI275,AI276)</f>
        <v>15</v>
      </c>
      <c r="Z276" s="19" t="str">
        <f t="shared" si="215"/>
        <v>Fortuna Düsseldorf</v>
      </c>
      <c r="AA276" s="19">
        <f>COUNTIFS(F4:F144,Z276,G4:G144,"&gt;=0")+COUNTIFS(I4:I144,Z276,H4:H144,"&gt;=0")</f>
        <v>13</v>
      </c>
      <c r="AB276" s="19">
        <f>COUNTIFS(F4:F144,Z276,B4:B144,3)+COUNTIFS(I4:I144,Z276,M4:M144,3)</f>
        <v>3</v>
      </c>
      <c r="AC276" s="19">
        <f>COUNTIFS(F4:F144,Z276,B4:B144,1)+COUNTIFS(I4:I144,Z276,M4:M144,1)</f>
        <v>3</v>
      </c>
      <c r="AD276" s="19">
        <f>COUNTIFS(F4:F144,Z276,B4:B144,0)+COUNTIFS(I4:I144,Z276,M4:M144,0)</f>
        <v>7</v>
      </c>
      <c r="AE276" s="19">
        <f>SUMIF(F4:F144,Z276,G4:G144)+SUMIF(I4:I144,Z276,H4:H144)</f>
        <v>16</v>
      </c>
      <c r="AF276" s="19">
        <f>SUMIF(F4:F144,Z276,H4:H144)+SUMIF(I4:I144,Z276,G4:G144)</f>
        <v>24</v>
      </c>
      <c r="AG276" s="19">
        <f t="shared" si="223"/>
        <v>-8</v>
      </c>
      <c r="AH276" s="19">
        <f t="shared" si="224"/>
        <v>12</v>
      </c>
      <c r="AI276" s="19">
        <f t="shared" si="217"/>
        <v>11999.936</v>
      </c>
      <c r="AJ276" s="2"/>
      <c r="AW276" s="7"/>
    </row>
    <row r="277" spans="1:49" x14ac:dyDescent="0.25">
      <c r="A277" s="1"/>
      <c r="F277" s="107"/>
      <c r="G277" s="108"/>
      <c r="H277" s="108"/>
      <c r="I277" s="107"/>
      <c r="J277" s="6"/>
      <c r="O277" s="2" t="str">
        <f t="shared" si="212"/>
        <v/>
      </c>
      <c r="P277" s="2" t="str">
        <f t="shared" si="213"/>
        <v/>
      </c>
      <c r="V277" s="2" t="str">
        <f t="shared" si="216"/>
        <v>Hertha BSC</v>
      </c>
      <c r="W277" s="2">
        <f t="shared" si="214"/>
        <v>16</v>
      </c>
      <c r="Y277" s="19">
        <f>RANK(AI277,$AI$265:$AI$282,0)+COUNTIF($AI$264:AI276,AI277)</f>
        <v>16</v>
      </c>
      <c r="Z277" s="19" t="str">
        <f t="shared" si="215"/>
        <v>Hertha BSC</v>
      </c>
      <c r="AA277" s="19">
        <f>COUNTIFS(F4:F144,Z277,G4:G144,"&gt;=0")+COUNTIFS(I4:I144,Z277,H4:H144,"&gt;=0")</f>
        <v>13</v>
      </c>
      <c r="AB277" s="19">
        <f>COUNTIFS(F4:F144,Z277,B4:B144,3)+COUNTIFS(I4:I144,Z277,M4:M144,3)</f>
        <v>3</v>
      </c>
      <c r="AC277" s="19">
        <f>COUNTIFS(F4:F144,Z277,B4:B144,1)+COUNTIFS(I4:I144,Z277,M4:M144,1)</f>
        <v>2</v>
      </c>
      <c r="AD277" s="19">
        <f>COUNTIFS(F4:F144,Z277,B4:B144,0)+COUNTIFS(I4:I144,Z277,M4:M144,0)</f>
        <v>8</v>
      </c>
      <c r="AE277" s="19">
        <f>SUMIF(F4:F144,Z277,G4:G144)+SUMIF(I4:I144,Z277,H4:H144)</f>
        <v>18</v>
      </c>
      <c r="AF277" s="19">
        <f>SUMIF(F4:F144,Z277,H4:H144)+SUMIF(I4:I144,Z277,G4:G144)</f>
        <v>27</v>
      </c>
      <c r="AG277" s="19">
        <f t="shared" si="223"/>
        <v>-9</v>
      </c>
      <c r="AH277" s="19">
        <f t="shared" si="224"/>
        <v>11</v>
      </c>
      <c r="AI277" s="19">
        <f t="shared" si="217"/>
        <v>10999.928</v>
      </c>
      <c r="AJ277" s="2"/>
      <c r="AW277" s="7"/>
    </row>
    <row r="278" spans="1:49" x14ac:dyDescent="0.25">
      <c r="A278" s="1"/>
      <c r="B278" s="2" t="str">
        <f t="shared" si="211"/>
        <v/>
      </c>
      <c r="F278" s="154" t="s">
        <v>65</v>
      </c>
      <c r="G278" s="154"/>
      <c r="H278" s="154"/>
      <c r="I278" s="154"/>
      <c r="J278" s="6"/>
      <c r="M278" s="2" t="str">
        <f t="shared" ref="M278:M287" si="225">IF(H278="","",IF(H278&gt;G278,3,IF(H278=G278,1,0)))</f>
        <v/>
      </c>
      <c r="O278" s="2" t="str">
        <f t="shared" si="212"/>
        <v/>
      </c>
      <c r="P278" s="2" t="str">
        <f t="shared" si="213"/>
        <v/>
      </c>
      <c r="V278" s="2" t="str">
        <f t="shared" si="216"/>
        <v>RB Leipzig</v>
      </c>
      <c r="W278" s="2">
        <f t="shared" si="214"/>
        <v>2</v>
      </c>
      <c r="Y278" s="19">
        <f>RANK(AI278,$AI$265:$AI$282,0)+COUNTIF($AI$264:AI277,AI278)</f>
        <v>2</v>
      </c>
      <c r="Z278" s="19" t="str">
        <f t="shared" si="215"/>
        <v>RB Leipzig</v>
      </c>
      <c r="AA278" s="19">
        <f>COUNTIFS(F4:F144,Z278,G4:G144,"&gt;=0")+COUNTIFS(I4:I144,Z278,H4:H144,"&gt;=0")</f>
        <v>13</v>
      </c>
      <c r="AB278" s="19">
        <f>COUNTIFS(F4:F144,Z278,B4:B144,3)+COUNTIFS(I4:I144,Z278,M4:M144,3)</f>
        <v>8</v>
      </c>
      <c r="AC278" s="19">
        <f>COUNTIFS(F4:F144,Z278,B4:B144,1)+COUNTIFS(I4:I144,Z278,M4:M144,1)</f>
        <v>3</v>
      </c>
      <c r="AD278" s="19">
        <f>COUNTIFS(F4:F144,Z278,B4:B144,0)+COUNTIFS(I4:I144,Z278,M4:M144,0)</f>
        <v>2</v>
      </c>
      <c r="AE278" s="19">
        <f>SUMIF(F4:F144,Z278,G4:G144)+SUMIF(I4:I144,Z278,H4:H144)</f>
        <v>36</v>
      </c>
      <c r="AF278" s="19">
        <f>SUMIF(F4:F144,Z278,H4:H144)+SUMIF(I4:I144,Z278,G4:G144)</f>
        <v>15</v>
      </c>
      <c r="AG278" s="19">
        <f t="shared" si="223"/>
        <v>21</v>
      </c>
      <c r="AH278" s="19">
        <f t="shared" si="224"/>
        <v>27</v>
      </c>
      <c r="AI278" s="19">
        <f t="shared" si="217"/>
        <v>27000.245999999999</v>
      </c>
      <c r="AJ278" s="2"/>
      <c r="AW278" s="7"/>
    </row>
    <row r="279" spans="1:49" x14ac:dyDescent="0.25">
      <c r="A279" s="1"/>
      <c r="B279" s="2" t="str">
        <f t="shared" si="211"/>
        <v/>
      </c>
      <c r="D279" s="61">
        <f t="shared" ref="D279:D287" si="226">IFERROR(VLOOKUP(F279,$V$505:$W$522,2,FALSE),"")</f>
        <v>10</v>
      </c>
      <c r="F279" s="9" t="s">
        <v>162</v>
      </c>
      <c r="G279" s="10"/>
      <c r="H279" s="10"/>
      <c r="I279" s="9" t="s">
        <v>79</v>
      </c>
      <c r="J279" s="6"/>
      <c r="K279" s="61">
        <f t="shared" ref="K279:K287" si="227">IFERROR(VLOOKUP(I279,$V$505:$W$522,2,FALSE),"")</f>
        <v>1</v>
      </c>
      <c r="M279" s="2" t="str">
        <f t="shared" si="225"/>
        <v/>
      </c>
      <c r="O279" s="2" t="str">
        <f t="shared" si="212"/>
        <v/>
      </c>
      <c r="P279" s="2" t="str">
        <f t="shared" si="213"/>
        <v/>
      </c>
      <c r="S279" s="2" t="str">
        <f t="shared" ref="S279:S287" si="228">IF(M279&lt;&gt;"",F279&amp;I279,"")</f>
        <v/>
      </c>
      <c r="T279" s="2" t="str">
        <f t="shared" ref="T279:T287" si="229">IF(S279&lt;&gt;"",G279&amp;"-"&amp;H279,"")</f>
        <v/>
      </c>
      <c r="V279" s="2" t="str">
        <f t="shared" si="216"/>
        <v>SC Freiburg</v>
      </c>
      <c r="W279" s="2">
        <f t="shared" si="214"/>
        <v>6</v>
      </c>
      <c r="Y279" s="19">
        <f>RANK(AI279,$AI$265:$AI$282,0)+COUNTIF($AI$264:AI278,AI279)</f>
        <v>6</v>
      </c>
      <c r="Z279" s="19" t="str">
        <f t="shared" si="215"/>
        <v>SC Freiburg</v>
      </c>
      <c r="AA279" s="19">
        <f>COUNTIFS(F4:F144,Z279,G4:G144,"&gt;=0")+COUNTIFS(I4:I144,Z279,H4:H144,"&gt;=0")</f>
        <v>13</v>
      </c>
      <c r="AB279" s="19">
        <f>COUNTIFS(F4:F144,Z279,B4:B144,3)+COUNTIFS(I4:I144,Z279,M4:M144,3)</f>
        <v>6</v>
      </c>
      <c r="AC279" s="19">
        <f>COUNTIFS(F4:F144,Z279,B4:B144,1)+COUNTIFS(I4:I144,Z279,M4:M144,1)</f>
        <v>4</v>
      </c>
      <c r="AD279" s="19">
        <f>COUNTIFS(F4:F144,Z279,B4:B144,0)+COUNTIFS(I4:I144,Z279,M4:M144,0)</f>
        <v>3</v>
      </c>
      <c r="AE279" s="19">
        <f>SUMIF(F4:F144,Z279,G4:G144)+SUMIF(I4:I144,Z279,H4:H144)</f>
        <v>23</v>
      </c>
      <c r="AF279" s="19">
        <f>SUMIF(F4:F144,Z279,H4:H144)+SUMIF(I4:I144,Z279,G4:G144)</f>
        <v>17</v>
      </c>
      <c r="AG279" s="19">
        <f t="shared" si="223"/>
        <v>6</v>
      </c>
      <c r="AH279" s="19">
        <f t="shared" si="224"/>
        <v>22</v>
      </c>
      <c r="AI279" s="19">
        <f t="shared" si="217"/>
        <v>22000.083000000002</v>
      </c>
      <c r="AJ279" s="2"/>
      <c r="AW279" s="7"/>
    </row>
    <row r="280" spans="1:49" x14ac:dyDescent="0.25">
      <c r="A280" s="1"/>
      <c r="B280" s="2" t="str">
        <f t="shared" si="211"/>
        <v/>
      </c>
      <c r="D280" s="61">
        <f t="shared" si="226"/>
        <v>17</v>
      </c>
      <c r="F280" s="9" t="s">
        <v>87</v>
      </c>
      <c r="G280" s="10"/>
      <c r="H280" s="10"/>
      <c r="I280" s="9" t="s">
        <v>83</v>
      </c>
      <c r="J280" s="6"/>
      <c r="K280" s="61">
        <f t="shared" si="227"/>
        <v>5</v>
      </c>
      <c r="M280" s="2" t="str">
        <f t="shared" si="225"/>
        <v/>
      </c>
      <c r="O280" s="2" t="str">
        <f t="shared" si="212"/>
        <v/>
      </c>
      <c r="P280" s="2" t="str">
        <f t="shared" si="213"/>
        <v/>
      </c>
      <c r="S280" s="2" t="str">
        <f t="shared" si="228"/>
        <v/>
      </c>
      <c r="T280" s="2" t="str">
        <f t="shared" si="229"/>
        <v/>
      </c>
      <c r="V280" s="2" t="str">
        <f t="shared" si="216"/>
        <v>SC Paderborn 07</v>
      </c>
      <c r="W280" s="2">
        <f t="shared" si="214"/>
        <v>18</v>
      </c>
      <c r="Y280" s="19">
        <f>RANK(AI280,$AI$265:$AI$282,0)+COUNTIF($AI$264:AI279,AI280)</f>
        <v>18</v>
      </c>
      <c r="Z280" s="19" t="str">
        <f t="shared" si="215"/>
        <v>SC Paderborn 07</v>
      </c>
      <c r="AA280" s="19">
        <f>COUNTIFS(F4:F144,Z280,G4:G144,"&gt;=0")+COUNTIFS(I4:I144,Z280,H4:H144,"&gt;=0")</f>
        <v>13</v>
      </c>
      <c r="AB280" s="19">
        <f>COUNTIFS(F4:F144,Z280,B4:B144,3)+COUNTIFS(I4:I144,Z280,M4:M144,3)</f>
        <v>1</v>
      </c>
      <c r="AC280" s="19">
        <f>COUNTIFS(F4:F144,Z280,B4:B144,1)+COUNTIFS(I4:I144,Z280,M4:M144,1)</f>
        <v>2</v>
      </c>
      <c r="AD280" s="19">
        <f>COUNTIFS(F4:F144,Z280,B4:B144,0)+COUNTIFS(I4:I144,Z280,M4:M144,0)</f>
        <v>10</v>
      </c>
      <c r="AE280" s="19">
        <f>SUMIF(F4:F144,Z280,G4:G144)+SUMIF(I4:I144,Z280,H4:H144)</f>
        <v>16</v>
      </c>
      <c r="AF280" s="19">
        <f>SUMIF(F4:F144,Z280,H4:H144)+SUMIF(I4:I144,Z280,G4:G144)</f>
        <v>32</v>
      </c>
      <c r="AG280" s="19">
        <f t="shared" si="223"/>
        <v>-16</v>
      </c>
      <c r="AH280" s="19">
        <f t="shared" si="224"/>
        <v>5</v>
      </c>
      <c r="AI280" s="19">
        <f t="shared" si="217"/>
        <v>4999.8559999999998</v>
      </c>
      <c r="AJ280" s="2"/>
      <c r="AW280" s="7"/>
    </row>
    <row r="281" spans="1:49" x14ac:dyDescent="0.25">
      <c r="A281" s="1"/>
      <c r="B281" s="2" t="str">
        <f t="shared" si="211"/>
        <v/>
      </c>
      <c r="D281" s="61">
        <f t="shared" si="226"/>
        <v>12</v>
      </c>
      <c r="F281" s="9" t="s">
        <v>84</v>
      </c>
      <c r="G281" s="10"/>
      <c r="H281" s="10"/>
      <c r="I281" s="9" t="s">
        <v>82</v>
      </c>
      <c r="J281" s="6"/>
      <c r="K281" s="61">
        <f t="shared" si="227"/>
        <v>4</v>
      </c>
      <c r="M281" s="2" t="str">
        <f t="shared" si="225"/>
        <v/>
      </c>
      <c r="O281" s="2" t="str">
        <f t="shared" si="212"/>
        <v/>
      </c>
      <c r="P281" s="2" t="str">
        <f t="shared" si="213"/>
        <v/>
      </c>
      <c r="S281" s="2" t="str">
        <f t="shared" si="228"/>
        <v/>
      </c>
      <c r="T281" s="2" t="str">
        <f t="shared" si="229"/>
        <v/>
      </c>
      <c r="V281" s="2" t="str">
        <f t="shared" si="216"/>
        <v>VfL Wolfsburg</v>
      </c>
      <c r="W281" s="2">
        <f t="shared" si="214"/>
        <v>9</v>
      </c>
      <c r="Y281" s="19">
        <f>RANK(AI281,$AI$265:$AI$282,0)+COUNTIF($AI$264:AI280,AI281)</f>
        <v>9</v>
      </c>
      <c r="Z281" s="19" t="str">
        <f t="shared" si="215"/>
        <v>VfL Wolfsburg</v>
      </c>
      <c r="AA281" s="19">
        <f>COUNTIFS(F4:F144,Z281,G4:G144,"&gt;=0")+COUNTIFS(I4:I144,Z281,H4:H144,"&gt;=0")</f>
        <v>13</v>
      </c>
      <c r="AB281" s="19">
        <f>COUNTIFS(F4:F144,Z281,B4:B144,3)+COUNTIFS(I4:I144,Z281,M4:M144,3)</f>
        <v>5</v>
      </c>
      <c r="AC281" s="19">
        <f>COUNTIFS(F4:F144,Z281,B4:B144,1)+COUNTIFS(I4:I144,Z281,M4:M144,1)</f>
        <v>5</v>
      </c>
      <c r="AD281" s="19">
        <f>COUNTIFS(F4:F144,Z281,B4:B144,0)+COUNTIFS(I4:I144,Z281,M4:M144,0)</f>
        <v>3</v>
      </c>
      <c r="AE281" s="19">
        <f>SUMIF(F4:F144,Z281,G4:G144)+SUMIF(I4:I144,Z281,H4:H144)</f>
        <v>15</v>
      </c>
      <c r="AF281" s="19">
        <f>SUMIF(F4:F144,Z281,H4:H144)+SUMIF(I4:I144,Z281,G4:G144)</f>
        <v>13</v>
      </c>
      <c r="AG281" s="19">
        <f t="shared" si="223"/>
        <v>2</v>
      </c>
      <c r="AH281" s="19">
        <f t="shared" si="224"/>
        <v>20</v>
      </c>
      <c r="AI281" s="19">
        <f t="shared" si="217"/>
        <v>20000.035</v>
      </c>
      <c r="AJ281" s="2"/>
      <c r="AW281" s="7"/>
    </row>
    <row r="282" spans="1:49" x14ac:dyDescent="0.25">
      <c r="A282" s="1"/>
      <c r="B282" s="2" t="str">
        <f t="shared" si="211"/>
        <v/>
      </c>
      <c r="D282" s="61">
        <f t="shared" si="226"/>
        <v>13</v>
      </c>
      <c r="F282" s="9" t="s">
        <v>92</v>
      </c>
      <c r="G282" s="10"/>
      <c r="H282" s="10"/>
      <c r="I282" s="9" t="s">
        <v>85</v>
      </c>
      <c r="J282" s="6"/>
      <c r="K282" s="61">
        <f t="shared" si="227"/>
        <v>7</v>
      </c>
      <c r="M282" s="2" t="str">
        <f t="shared" si="225"/>
        <v/>
      </c>
      <c r="O282" s="2" t="str">
        <f t="shared" si="212"/>
        <v/>
      </c>
      <c r="P282" s="2" t="str">
        <f t="shared" si="213"/>
        <v/>
      </c>
      <c r="S282" s="2" t="str">
        <f t="shared" si="228"/>
        <v/>
      </c>
      <c r="T282" s="2" t="str">
        <f t="shared" si="229"/>
        <v/>
      </c>
      <c r="V282" s="2" t="str">
        <f t="shared" si="216"/>
        <v>Werder Bremen</v>
      </c>
      <c r="W282" s="2">
        <f t="shared" si="214"/>
        <v>13</v>
      </c>
      <c r="Y282" s="19">
        <f>RANK(AI282,$AI$265:$AI$282,0)+COUNTIF($AI$264:AI281,AI282)</f>
        <v>13</v>
      </c>
      <c r="Z282" s="19" t="str">
        <f t="shared" si="215"/>
        <v>Werder Bremen</v>
      </c>
      <c r="AA282" s="19">
        <f>COUNTIFS(F4:F144,Z282,G4:G144,"&gt;=0")+COUNTIFS(I4:I144,Z282,H4:H144,"&gt;=0")</f>
        <v>13</v>
      </c>
      <c r="AB282" s="19">
        <f>COUNTIFS(F4:F144,Z282,B4:B144,3)+COUNTIFS(I4:I144,Z282,M4:M144,3)</f>
        <v>3</v>
      </c>
      <c r="AC282" s="19">
        <f>COUNTIFS(F4:F144,Z282,B4:B144,1)+COUNTIFS(I4:I144,Z282,M4:M144,1)</f>
        <v>5</v>
      </c>
      <c r="AD282" s="19">
        <f>COUNTIFS(F4:F144,Z282,B4:B144,0)+COUNTIFS(I4:I144,Z282,M4:M144,0)</f>
        <v>5</v>
      </c>
      <c r="AE282" s="19">
        <f>SUMIF(F4:F144,Z282,G4:G144)+SUMIF(I4:I144,Z282,H4:H144)</f>
        <v>22</v>
      </c>
      <c r="AF282" s="19">
        <f>SUMIF(F4:F144,Z282,H4:H144)+SUMIF(I4:I144,Z282,G4:G144)</f>
        <v>28</v>
      </c>
      <c r="AG282" s="19">
        <f t="shared" si="223"/>
        <v>-6</v>
      </c>
      <c r="AH282" s="19">
        <f t="shared" si="224"/>
        <v>14</v>
      </c>
      <c r="AI282" s="19">
        <f t="shared" si="217"/>
        <v>13999.962000000001</v>
      </c>
      <c r="AJ282" s="2"/>
      <c r="AW282" s="7"/>
    </row>
    <row r="283" spans="1:49" x14ac:dyDescent="0.25">
      <c r="A283" s="1"/>
      <c r="B283" s="2" t="str">
        <f t="shared" si="211"/>
        <v/>
      </c>
      <c r="D283" s="61">
        <f t="shared" si="226"/>
        <v>8</v>
      </c>
      <c r="F283" s="9" t="s">
        <v>86</v>
      </c>
      <c r="G283" s="10"/>
      <c r="H283" s="10"/>
      <c r="I283" s="9" t="s">
        <v>88</v>
      </c>
      <c r="J283" s="6"/>
      <c r="K283" s="61">
        <f t="shared" si="227"/>
        <v>14</v>
      </c>
      <c r="M283" s="2" t="str">
        <f t="shared" si="225"/>
        <v/>
      </c>
      <c r="O283" s="2" t="str">
        <f t="shared" si="212"/>
        <v/>
      </c>
      <c r="P283" s="2" t="str">
        <f t="shared" si="213"/>
        <v/>
      </c>
      <c r="S283" s="2" t="str">
        <f t="shared" si="228"/>
        <v/>
      </c>
      <c r="T283" s="2" t="str">
        <f t="shared" si="229"/>
        <v/>
      </c>
      <c r="AJ283" s="2"/>
      <c r="AW283" s="7"/>
    </row>
    <row r="284" spans="1:49" x14ac:dyDescent="0.25">
      <c r="A284" s="1"/>
      <c r="B284" s="2" t="str">
        <f t="shared" si="211"/>
        <v/>
      </c>
      <c r="D284" s="61">
        <f t="shared" si="226"/>
        <v>11</v>
      </c>
      <c r="F284" s="9" t="s">
        <v>161</v>
      </c>
      <c r="G284" s="10"/>
      <c r="H284" s="10"/>
      <c r="I284" s="9" t="s">
        <v>90</v>
      </c>
      <c r="J284" s="6"/>
      <c r="K284" s="61">
        <f t="shared" si="227"/>
        <v>15</v>
      </c>
      <c r="M284" s="2" t="str">
        <f t="shared" si="225"/>
        <v/>
      </c>
      <c r="O284" s="2" t="str">
        <f t="shared" si="212"/>
        <v/>
      </c>
      <c r="P284" s="2" t="str">
        <f t="shared" si="213"/>
        <v/>
      </c>
      <c r="S284" s="2" t="str">
        <f t="shared" si="228"/>
        <v/>
      </c>
      <c r="T284" s="2" t="str">
        <f t="shared" si="229"/>
        <v/>
      </c>
      <c r="W284" s="18">
        <v>14</v>
      </c>
      <c r="Y284" s="19"/>
      <c r="Z284" s="19" t="s">
        <v>1</v>
      </c>
      <c r="AA284" s="19" t="s">
        <v>2</v>
      </c>
      <c r="AB284" s="19" t="s">
        <v>3</v>
      </c>
      <c r="AC284" s="19" t="s">
        <v>4</v>
      </c>
      <c r="AD284" s="19" t="s">
        <v>5</v>
      </c>
      <c r="AE284" s="19" t="s">
        <v>6</v>
      </c>
      <c r="AF284" s="19" t="s">
        <v>7</v>
      </c>
      <c r="AG284" s="19" t="s">
        <v>8</v>
      </c>
      <c r="AH284" s="19" t="s">
        <v>9</v>
      </c>
      <c r="AI284" s="19" t="s">
        <v>0</v>
      </c>
      <c r="AJ284" s="2"/>
      <c r="AW284" s="7"/>
    </row>
    <row r="285" spans="1:49" x14ac:dyDescent="0.25">
      <c r="A285" s="1"/>
      <c r="B285" s="2" t="str">
        <f t="shared" si="211"/>
        <v/>
      </c>
      <c r="D285" s="61">
        <f t="shared" si="226"/>
        <v>2</v>
      </c>
      <c r="F285" s="9" t="s">
        <v>81</v>
      </c>
      <c r="G285" s="10"/>
      <c r="H285" s="10"/>
      <c r="I285" s="9" t="s">
        <v>91</v>
      </c>
      <c r="J285" s="6"/>
      <c r="K285" s="61">
        <f t="shared" si="227"/>
        <v>9</v>
      </c>
      <c r="M285" s="2" t="str">
        <f t="shared" si="225"/>
        <v/>
      </c>
      <c r="O285" s="2" t="str">
        <f t="shared" si="212"/>
        <v/>
      </c>
      <c r="P285" s="2" t="str">
        <f t="shared" si="213"/>
        <v/>
      </c>
      <c r="S285" s="2" t="str">
        <f t="shared" si="228"/>
        <v/>
      </c>
      <c r="T285" s="2" t="str">
        <f t="shared" si="229"/>
        <v/>
      </c>
      <c r="V285" s="2" t="str">
        <f>CONCATENATE(Z285)</f>
        <v>1. FC Köln</v>
      </c>
      <c r="W285" s="2">
        <f t="shared" ref="W285:W302" si="230">Y285</f>
        <v>18</v>
      </c>
      <c r="Y285" s="19">
        <f>RANK(AI285,$AI$285:$AI$302,0)+COUNTIF($AI$284:AI284,AI285)</f>
        <v>18</v>
      </c>
      <c r="Z285" s="19" t="str">
        <f t="shared" ref="Z285:Z302" si="231">CONCATENATE(Z5)</f>
        <v>1. FC Köln</v>
      </c>
      <c r="AA285" s="19">
        <f>COUNTIFS(F4:F155,Z285,G4:G155,"&gt;=0")+COUNTIFS(I4:I155,Z285,H4:H155,"&gt;=0")</f>
        <v>14</v>
      </c>
      <c r="AB285" s="19">
        <f>COUNTIFS(F4:F155,Z285,B4:B155,3)+COUNTIFS(I4:I155,Z285,M4:M155,3)</f>
        <v>2</v>
      </c>
      <c r="AC285" s="19">
        <f>COUNTIFS(F4:F155,Z285,B4:B155,1)+COUNTIFS(I4:I155,Z285,M4:M155,1)</f>
        <v>2</v>
      </c>
      <c r="AD285" s="19">
        <f>COUNTIFS(F4:F155,Z285,B4:B155,0)+COUNTIFS(I4:I155,Z285,M4:M155,0)</f>
        <v>10</v>
      </c>
      <c r="AE285" s="19">
        <f>SUMIF(F4:F155,Z285,G4:G155)+SUMIF(I4:I155,Z285,H4:H155)</f>
        <v>12</v>
      </c>
      <c r="AF285" s="19">
        <f>SUMIF(F4:F155,Z285,H4:H155)+SUMIF(I4:I155,Z285,G4:G155)</f>
        <v>30</v>
      </c>
      <c r="AG285" s="19">
        <f>+AE285-AF285</f>
        <v>-18</v>
      </c>
      <c r="AH285" s="19">
        <f>(AB285*3)+AC285</f>
        <v>8</v>
      </c>
      <c r="AI285" s="19">
        <f>SUM(AH285*1000+(AG285)/100+(AE285)/1000)</f>
        <v>7999.8319999999994</v>
      </c>
      <c r="AJ285" s="2"/>
      <c r="AW285" s="7"/>
    </row>
    <row r="286" spans="1:49" x14ac:dyDescent="0.25">
      <c r="A286" s="1"/>
      <c r="B286" s="2" t="str">
        <f t="shared" si="211"/>
        <v/>
      </c>
      <c r="D286" s="61">
        <f t="shared" si="226"/>
        <v>3</v>
      </c>
      <c r="F286" s="9" t="s">
        <v>80</v>
      </c>
      <c r="G286" s="10"/>
      <c r="H286" s="10"/>
      <c r="I286" s="9" t="s">
        <v>93</v>
      </c>
      <c r="J286" s="6"/>
      <c r="K286" s="61">
        <f t="shared" si="227"/>
        <v>6</v>
      </c>
      <c r="M286" s="2" t="str">
        <f t="shared" si="225"/>
        <v/>
      </c>
      <c r="O286" s="2" t="str">
        <f t="shared" si="212"/>
        <v/>
      </c>
      <c r="P286" s="2" t="str">
        <f t="shared" si="213"/>
        <v/>
      </c>
      <c r="S286" s="2" t="str">
        <f t="shared" si="228"/>
        <v/>
      </c>
      <c r="T286" s="2" t="str">
        <f t="shared" si="229"/>
        <v/>
      </c>
      <c r="V286" s="2" t="str">
        <f t="shared" ref="V286:V302" si="232">CONCATENATE(Z286)</f>
        <v>1. FC Union Berlin</v>
      </c>
      <c r="W286" s="2">
        <f t="shared" si="230"/>
        <v>10</v>
      </c>
      <c r="Y286" s="19">
        <f>RANK(AI286,$AI$285:$AI$302,0)+COUNTIF($AI$284:AI285,AI286)</f>
        <v>10</v>
      </c>
      <c r="Z286" s="19" t="str">
        <f t="shared" si="231"/>
        <v>1. FC Union Berlin</v>
      </c>
      <c r="AA286" s="19">
        <f>COUNTIFS(F4:F155,Z286,G4:G155,"&gt;=0")+COUNTIFS(I4:I155,Z286,H4:H155,"&gt;=0")</f>
        <v>14</v>
      </c>
      <c r="AB286" s="19">
        <f>COUNTIFS(F4:F155,Z286,B4:B155,3)+COUNTIFS(I4:I155,Z286,M4:M155,3)</f>
        <v>6</v>
      </c>
      <c r="AC286" s="19">
        <f>COUNTIFS(F4:F155,Z286,B4:B155,1)+COUNTIFS(I4:I155,Z286,M4:M155,1)</f>
        <v>1</v>
      </c>
      <c r="AD286" s="19">
        <f>COUNTIFS(F4:F155,Z286,B4:B155,0)+COUNTIFS(I4:I155,Z286,M4:M155,0)</f>
        <v>7</v>
      </c>
      <c r="AE286" s="19">
        <f>SUMIF(F4:F155,Z286,G4:G155)+SUMIF(I4:I155,Z286,H4:H155)</f>
        <v>18</v>
      </c>
      <c r="AF286" s="19">
        <f>SUMIF(F4:F155,Z286,H4:H155)+SUMIF(I4:I155,Z286,G4:G155)</f>
        <v>19</v>
      </c>
      <c r="AG286" s="19">
        <f>+AE286-AF286</f>
        <v>-1</v>
      </c>
      <c r="AH286" s="19">
        <f>(AB286*3)+AC286</f>
        <v>19</v>
      </c>
      <c r="AI286" s="19">
        <f t="shared" ref="AI286:AI302" si="233">SUM(AH286*1000+(AG286)/100+(AE286)/1000)</f>
        <v>19000.008000000002</v>
      </c>
      <c r="AJ286" s="2"/>
      <c r="AW286" s="7"/>
    </row>
    <row r="287" spans="1:49" x14ac:dyDescent="0.25">
      <c r="A287" s="1"/>
      <c r="B287" s="2" t="str">
        <f t="shared" si="211"/>
        <v/>
      </c>
      <c r="D287" s="61">
        <f t="shared" si="226"/>
        <v>16</v>
      </c>
      <c r="F287" s="9" t="s">
        <v>89</v>
      </c>
      <c r="G287" s="10"/>
      <c r="H287" s="10"/>
      <c r="I287" s="9" t="s">
        <v>148</v>
      </c>
      <c r="J287" s="6"/>
      <c r="K287" s="61">
        <f t="shared" si="227"/>
        <v>18</v>
      </c>
      <c r="M287" s="2" t="str">
        <f t="shared" si="225"/>
        <v/>
      </c>
      <c r="O287" s="2" t="str">
        <f t="shared" si="212"/>
        <v/>
      </c>
      <c r="P287" s="2" t="str">
        <f t="shared" si="213"/>
        <v/>
      </c>
      <c r="S287" s="2" t="str">
        <f t="shared" si="228"/>
        <v/>
      </c>
      <c r="T287" s="2" t="str">
        <f t="shared" si="229"/>
        <v/>
      </c>
      <c r="V287" s="2" t="str">
        <f t="shared" si="232"/>
        <v>1. FSV Mainz 05</v>
      </c>
      <c r="W287" s="2">
        <f t="shared" si="230"/>
        <v>13</v>
      </c>
      <c r="Y287" s="19">
        <f>RANK(AI287,$AI$285:$AI$302,0)+COUNTIF($AI$284:AI286,AI287)</f>
        <v>13</v>
      </c>
      <c r="Z287" s="19" t="str">
        <f t="shared" si="231"/>
        <v>1. FSV Mainz 05</v>
      </c>
      <c r="AA287" s="19">
        <f>COUNTIFS(F4:F155,Z287,G4:G155,"&gt;=0")+COUNTIFS(I4:I155,Z287,H4:H155,"&gt;=0")</f>
        <v>14</v>
      </c>
      <c r="AB287" s="19">
        <f>COUNTIFS(F4:F155,Z287,B4:B155,3)+COUNTIFS(I4:I155,Z287,M4:M155,3)</f>
        <v>5</v>
      </c>
      <c r="AC287" s="19">
        <f>COUNTIFS(F4:F155,Z287,B4:B155,1)+COUNTIFS(I4:I155,Z287,M4:M155,1)</f>
        <v>0</v>
      </c>
      <c r="AD287" s="19">
        <f>COUNTIFS(F4:F155,Z287,B4:B155,0)+COUNTIFS(I4:I155,Z287,M4:M155,0)</f>
        <v>9</v>
      </c>
      <c r="AE287" s="19">
        <f>SUMIF(F4:F155,Z287,G4:G155)+SUMIF(I4:I155,Z287,H4:H155)</f>
        <v>20</v>
      </c>
      <c r="AF287" s="19">
        <f>SUMIF(F4:F155,Z287,H4:H155)+SUMIF(I4:I155,Z287,G4:G155)</f>
        <v>34</v>
      </c>
      <c r="AG287" s="19">
        <f>+AE287-AF287</f>
        <v>-14</v>
      </c>
      <c r="AH287" s="19">
        <f>(AB287*3)+AC287</f>
        <v>15</v>
      </c>
      <c r="AI287" s="19">
        <f t="shared" si="233"/>
        <v>14999.880000000001</v>
      </c>
      <c r="AJ287" s="2"/>
      <c r="AW287" s="7"/>
    </row>
    <row r="288" spans="1:49" x14ac:dyDescent="0.25">
      <c r="A288" s="1"/>
      <c r="F288" s="107"/>
      <c r="G288" s="108"/>
      <c r="H288" s="108"/>
      <c r="I288" s="107"/>
      <c r="J288" s="6"/>
      <c r="O288" s="2" t="str">
        <f t="shared" si="212"/>
        <v/>
      </c>
      <c r="P288" s="2" t="str">
        <f t="shared" si="213"/>
        <v/>
      </c>
      <c r="V288" s="2" t="str">
        <f t="shared" si="232"/>
        <v>1899 Hoffenheim</v>
      </c>
      <c r="W288" s="2">
        <f t="shared" si="230"/>
        <v>8</v>
      </c>
      <c r="Y288" s="19">
        <f>RANK(AI288,$AI$285:$AI$302,0)+COUNTIF($AI$284:AI287,AI288)</f>
        <v>8</v>
      </c>
      <c r="Z288" s="19" t="str">
        <f t="shared" si="231"/>
        <v>1899 Hoffenheim</v>
      </c>
      <c r="AA288" s="19">
        <f>COUNTIFS(F4:F155,Z288,G4:G155,"&gt;=0")+COUNTIFS(I4:I155,Z288,H4:H155,"&gt;=0")</f>
        <v>14</v>
      </c>
      <c r="AB288" s="19">
        <f>COUNTIFS(F4:F155,Z288,B4:B155,3)+COUNTIFS(I4:I155,Z288,M4:M155,3)</f>
        <v>6</v>
      </c>
      <c r="AC288" s="19">
        <f>COUNTIFS(F4:F155,Z288,B4:B155,1)+COUNTIFS(I4:I155,Z288,M4:M155,1)</f>
        <v>3</v>
      </c>
      <c r="AD288" s="19">
        <f>COUNTIFS(F4:F155,Z288,B4:B155,0)+COUNTIFS(I4:I155,Z288,M4:M155,0)</f>
        <v>5</v>
      </c>
      <c r="AE288" s="19">
        <f>SUMIF(F4:F155,Z288,G4:G155)+SUMIF(I4:I155,Z288,H4:H155)</f>
        <v>19</v>
      </c>
      <c r="AF288" s="19">
        <f>SUMIF(F4:F155,Z288,H4:H155)+SUMIF(I4:I155,Z288,G4:G155)</f>
        <v>23</v>
      </c>
      <c r="AG288" s="19">
        <f t="shared" ref="AG288:AG302" si="234">+AE288-AF288</f>
        <v>-4</v>
      </c>
      <c r="AH288" s="19">
        <f>(AB288*3)+AC288</f>
        <v>21</v>
      </c>
      <c r="AI288" s="19">
        <f t="shared" si="233"/>
        <v>20999.978999999999</v>
      </c>
      <c r="AJ288" s="2"/>
      <c r="AW288" s="7"/>
    </row>
    <row r="289" spans="1:49" x14ac:dyDescent="0.25">
      <c r="A289" s="1"/>
      <c r="B289" s="2" t="str">
        <f t="shared" si="211"/>
        <v/>
      </c>
      <c r="F289" s="154" t="s">
        <v>66</v>
      </c>
      <c r="G289" s="154"/>
      <c r="H289" s="154"/>
      <c r="I289" s="154"/>
      <c r="J289" s="6"/>
      <c r="M289" s="2" t="str">
        <f t="shared" ref="M289:M298" si="235">IF(H289="","",IF(H289&gt;G289,3,IF(H289=G289,1,0)))</f>
        <v/>
      </c>
      <c r="O289" s="2" t="str">
        <f t="shared" si="212"/>
        <v/>
      </c>
      <c r="P289" s="2" t="str">
        <f t="shared" si="213"/>
        <v/>
      </c>
      <c r="V289" s="2" t="str">
        <f t="shared" si="232"/>
        <v>Bayer Leverkusen</v>
      </c>
      <c r="W289" s="2">
        <f t="shared" si="230"/>
        <v>6</v>
      </c>
      <c r="Y289" s="19">
        <f>RANK(AI289,$AI$285:$AI$302,0)+COUNTIF($AI$284:AI288,AI289)</f>
        <v>6</v>
      </c>
      <c r="Z289" s="19" t="str">
        <f t="shared" si="231"/>
        <v>Bayer Leverkusen</v>
      </c>
      <c r="AA289" s="19">
        <f>COUNTIFS(F4:F155,Z289,G4:G155,"&gt;=0")+COUNTIFS(I4:I155,Z289,H4:H155,"&gt;=0")</f>
        <v>14</v>
      </c>
      <c r="AB289" s="19">
        <f>COUNTIFS(F4:F155,Z289,B4:B155,3)+COUNTIFS(I4:I155,Z289,M4:M155,3)</f>
        <v>7</v>
      </c>
      <c r="AC289" s="19">
        <f>COUNTIFS(F4:F155,Z289,B4:B155,1)+COUNTIFS(I4:I155,Z289,M4:M155,1)</f>
        <v>4</v>
      </c>
      <c r="AD289" s="19">
        <f>COUNTIFS(F4:F155,Z289,B4:B155,0)+COUNTIFS(I4:I155,Z289,M4:M155,0)</f>
        <v>3</v>
      </c>
      <c r="AE289" s="19">
        <f>SUMIF(F4:F155,Z289,G4:G155)+SUMIF(I4:I155,Z289,H4:H155)</f>
        <v>22</v>
      </c>
      <c r="AF289" s="19">
        <f>SUMIF(F4:F155,Z289,H4:H155)+SUMIF(I4:I155,Z289,G4:G155)</f>
        <v>18</v>
      </c>
      <c r="AG289" s="19">
        <f t="shared" si="234"/>
        <v>4</v>
      </c>
      <c r="AH289" s="19">
        <f>(AB289*3)+AC289</f>
        <v>25</v>
      </c>
      <c r="AI289" s="19">
        <f t="shared" si="233"/>
        <v>25000.062000000002</v>
      </c>
      <c r="AW289" s="7"/>
    </row>
    <row r="290" spans="1:49" x14ac:dyDescent="0.25">
      <c r="A290" s="1"/>
      <c r="B290" s="2" t="str">
        <f t="shared" si="211"/>
        <v/>
      </c>
      <c r="D290" s="61">
        <f t="shared" ref="D290:D298" si="236">IFERROR(VLOOKUP(F290,$V$525:$W$542,2,FALSE),"")</f>
        <v>7</v>
      </c>
      <c r="F290" s="9" t="s">
        <v>85</v>
      </c>
      <c r="G290" s="10"/>
      <c r="H290" s="10"/>
      <c r="I290" s="9" t="s">
        <v>80</v>
      </c>
      <c r="J290" s="6"/>
      <c r="K290" s="61">
        <f t="shared" ref="K290:K298" si="237">IFERROR(VLOOKUP(I290,$V$525:$W$542,2,FALSE),"")</f>
        <v>3</v>
      </c>
      <c r="M290" s="2" t="str">
        <f t="shared" si="235"/>
        <v/>
      </c>
      <c r="O290" s="2" t="str">
        <f t="shared" si="212"/>
        <v/>
      </c>
      <c r="P290" s="2" t="str">
        <f t="shared" si="213"/>
        <v/>
      </c>
      <c r="S290" s="2" t="str">
        <f t="shared" ref="S290:S298" si="238">IF(M290&lt;&gt;"",F290&amp;I290,"")</f>
        <v/>
      </c>
      <c r="T290" s="2" t="str">
        <f t="shared" ref="T290:T298" si="239">IF(S290&lt;&gt;"",G290&amp;"-"&amp;H290,"")</f>
        <v/>
      </c>
      <c r="V290" s="2" t="str">
        <f t="shared" si="232"/>
        <v>Bayern München</v>
      </c>
      <c r="W290" s="2">
        <f t="shared" si="230"/>
        <v>7</v>
      </c>
      <c r="Y290" s="19">
        <f>RANK(AI290,$AI$285:$AI$302,0)+COUNTIF($AI$284:AI289,AI290)</f>
        <v>7</v>
      </c>
      <c r="Z290" s="19" t="str">
        <f t="shared" si="231"/>
        <v>Bayern München</v>
      </c>
      <c r="AA290" s="19">
        <f>COUNTIFS(F4:F155,Z290,G4:G155,"&gt;=0")+COUNTIFS(I4:I155,Z290,H4:H155,"&gt;=0")</f>
        <v>14</v>
      </c>
      <c r="AB290" s="19">
        <f>COUNTIFS(F4:F155,Z290,B4:B155,3)+COUNTIFS(I4:I155,Z290,M4:M155,3)</f>
        <v>7</v>
      </c>
      <c r="AC290" s="19">
        <f>COUNTIFS(F4:F155,Z290,B4:B155,1)+COUNTIFS(I4:I155,Z290,M4:M155,1)</f>
        <v>3</v>
      </c>
      <c r="AD290" s="19">
        <f>COUNTIFS(F4:F155,Z290,B4:B155,0)+COUNTIFS(I4:I155,Z290,M4:M155,0)</f>
        <v>4</v>
      </c>
      <c r="AE290" s="19">
        <f>SUMIF(F4:F155,Z290,G4:G155)+SUMIF(I4:I155,Z290,H4:H155)</f>
        <v>35</v>
      </c>
      <c r="AF290" s="19">
        <f>SUMIF(F4:F155,Z290,H4:H155)+SUMIF(I4:I155,Z290,G4:G155)</f>
        <v>20</v>
      </c>
      <c r="AG290" s="19">
        <f t="shared" si="234"/>
        <v>15</v>
      </c>
      <c r="AH290" s="19">
        <f t="shared" ref="AH290:AH302" si="240">(AB290*3)+AC290</f>
        <v>24</v>
      </c>
      <c r="AI290" s="19">
        <f t="shared" si="233"/>
        <v>24000.185000000001</v>
      </c>
      <c r="AJ290" s="2"/>
      <c r="AW290" s="7"/>
    </row>
    <row r="291" spans="1:49" x14ac:dyDescent="0.25">
      <c r="A291" s="1"/>
      <c r="B291" s="2" t="str">
        <f t="shared" si="211"/>
        <v/>
      </c>
      <c r="D291" s="61">
        <f t="shared" si="236"/>
        <v>15</v>
      </c>
      <c r="F291" s="9" t="s">
        <v>90</v>
      </c>
      <c r="G291" s="10"/>
      <c r="H291" s="10"/>
      <c r="I291" s="9" t="s">
        <v>81</v>
      </c>
      <c r="J291" s="6"/>
      <c r="K291" s="61">
        <f t="shared" si="237"/>
        <v>2</v>
      </c>
      <c r="M291" s="2" t="str">
        <f t="shared" si="235"/>
        <v/>
      </c>
      <c r="O291" s="2" t="str">
        <f t="shared" si="212"/>
        <v/>
      </c>
      <c r="P291" s="2" t="str">
        <f t="shared" si="213"/>
        <v/>
      </c>
      <c r="S291" s="2" t="str">
        <f t="shared" si="238"/>
        <v/>
      </c>
      <c r="T291" s="2" t="str">
        <f t="shared" si="239"/>
        <v/>
      </c>
      <c r="V291" s="2" t="str">
        <f t="shared" si="232"/>
        <v>Bor. Mönchengladbach</v>
      </c>
      <c r="W291" s="2">
        <f t="shared" si="230"/>
        <v>1</v>
      </c>
      <c r="Y291" s="19">
        <f>RANK(AI291,$AI$285:$AI$302,0)+COUNTIF($AI$284:AI290,AI291)</f>
        <v>1</v>
      </c>
      <c r="Z291" s="19" t="str">
        <f t="shared" si="231"/>
        <v>Bor. Mönchengladbach</v>
      </c>
      <c r="AA291" s="19">
        <f>COUNTIFS(F4:F155,Z291,G4:G155,"&gt;=0")+COUNTIFS(I4:I155,Z291,H4:H155,"&gt;=0")</f>
        <v>14</v>
      </c>
      <c r="AB291" s="19">
        <f>COUNTIFS(F4:F155,Z291,B4:B155,3)+COUNTIFS(I4:I155,Z291,M4:M155,3)</f>
        <v>10</v>
      </c>
      <c r="AC291" s="19">
        <f>COUNTIFS(F4:F155,Z291,B4:B155,1)+COUNTIFS(I4:I155,Z291,M4:M155,1)</f>
        <v>1</v>
      </c>
      <c r="AD291" s="19">
        <f>COUNTIFS(F4:F155,Z291,B4:B155,0)+COUNTIFS(I4:I155,Z291,M4:M155,0)</f>
        <v>3</v>
      </c>
      <c r="AE291" s="19">
        <f>SUMIF(F4:F155,Z291,G4:G155)+SUMIF(I4:I155,Z291,H4:H155)</f>
        <v>30</v>
      </c>
      <c r="AF291" s="19">
        <f>SUMIF(F4:F155,Z291,H4:H155)+SUMIF(I4:I155,Z291,G4:G155)</f>
        <v>16</v>
      </c>
      <c r="AG291" s="19">
        <f t="shared" si="234"/>
        <v>14</v>
      </c>
      <c r="AH291" s="19">
        <f t="shared" si="240"/>
        <v>31</v>
      </c>
      <c r="AI291" s="19">
        <f t="shared" si="233"/>
        <v>31000.17</v>
      </c>
      <c r="AJ291" s="2"/>
      <c r="AW291" s="7"/>
    </row>
    <row r="292" spans="1:49" x14ac:dyDescent="0.25">
      <c r="A292" s="1"/>
      <c r="B292" s="2" t="str">
        <f t="shared" si="211"/>
        <v/>
      </c>
      <c r="D292" s="61">
        <f t="shared" si="236"/>
        <v>4</v>
      </c>
      <c r="F292" s="9" t="s">
        <v>82</v>
      </c>
      <c r="G292" s="10"/>
      <c r="H292" s="10"/>
      <c r="I292" s="9" t="s">
        <v>83</v>
      </c>
      <c r="J292" s="6"/>
      <c r="K292" s="61">
        <f t="shared" si="237"/>
        <v>5</v>
      </c>
      <c r="M292" s="2" t="str">
        <f t="shared" si="235"/>
        <v/>
      </c>
      <c r="O292" s="2" t="str">
        <f t="shared" si="212"/>
        <v/>
      </c>
      <c r="P292" s="2" t="str">
        <f t="shared" si="213"/>
        <v/>
      </c>
      <c r="S292" s="2" t="str">
        <f t="shared" si="238"/>
        <v/>
      </c>
      <c r="T292" s="2" t="str">
        <f t="shared" si="239"/>
        <v/>
      </c>
      <c r="V292" s="2" t="str">
        <f t="shared" si="232"/>
        <v>Borussia Dortmund</v>
      </c>
      <c r="W292" s="2">
        <f t="shared" si="230"/>
        <v>3</v>
      </c>
      <c r="Y292" s="19">
        <f>RANK(AI292,$AI$285:$AI$302,0)+COUNTIF($AI$284:AI291,AI292)</f>
        <v>3</v>
      </c>
      <c r="Z292" s="19" t="str">
        <f t="shared" si="231"/>
        <v>Borussia Dortmund</v>
      </c>
      <c r="AA292" s="19">
        <f>COUNTIFS(F4:F155,Z292,G4:G155,"&gt;=0")+COUNTIFS(I4:I155,Z292,H4:H155,"&gt;=0")</f>
        <v>14</v>
      </c>
      <c r="AB292" s="19">
        <f>COUNTIFS(F4:F155,Z292,B4:B155,3)+COUNTIFS(I4:I155,Z292,M4:M155,3)</f>
        <v>7</v>
      </c>
      <c r="AC292" s="19">
        <f>COUNTIFS(F4:F155,Z292,B4:B155,1)+COUNTIFS(I4:I155,Z292,M4:M155,1)</f>
        <v>5</v>
      </c>
      <c r="AD292" s="19">
        <f>COUNTIFS(F4:F155,Z292,B4:B155,0)+COUNTIFS(I4:I155,Z292,M4:M155,0)</f>
        <v>2</v>
      </c>
      <c r="AE292" s="19">
        <f>SUMIF(F4:F155,Z292,G4:G155)+SUMIF(I4:I155,Z292,H4:H155)</f>
        <v>33</v>
      </c>
      <c r="AF292" s="19">
        <f>SUMIF(F4:F155,Z292,H4:H155)+SUMIF(I4:I155,Z292,G4:G155)</f>
        <v>19</v>
      </c>
      <c r="AG292" s="19">
        <f t="shared" si="234"/>
        <v>14</v>
      </c>
      <c r="AH292" s="19">
        <f t="shared" si="240"/>
        <v>26</v>
      </c>
      <c r="AI292" s="19">
        <f t="shared" si="233"/>
        <v>26000.172999999999</v>
      </c>
      <c r="AJ292" s="2"/>
      <c r="AW292" s="7"/>
    </row>
    <row r="293" spans="1:49" x14ac:dyDescent="0.25">
      <c r="A293" s="1"/>
      <c r="B293" s="2" t="str">
        <f t="shared" si="211"/>
        <v/>
      </c>
      <c r="D293" s="61">
        <f t="shared" si="236"/>
        <v>1</v>
      </c>
      <c r="F293" s="9" t="s">
        <v>79</v>
      </c>
      <c r="G293" s="10"/>
      <c r="H293" s="10"/>
      <c r="I293" s="9" t="s">
        <v>84</v>
      </c>
      <c r="J293" s="6"/>
      <c r="K293" s="61">
        <f t="shared" si="237"/>
        <v>12</v>
      </c>
      <c r="M293" s="2" t="str">
        <f t="shared" si="235"/>
        <v/>
      </c>
      <c r="O293" s="2" t="str">
        <f t="shared" si="212"/>
        <v/>
      </c>
      <c r="P293" s="2" t="str">
        <f t="shared" si="213"/>
        <v/>
      </c>
      <c r="S293" s="2" t="str">
        <f t="shared" si="238"/>
        <v/>
      </c>
      <c r="T293" s="2" t="str">
        <f t="shared" si="239"/>
        <v/>
      </c>
      <c r="V293" s="2" t="str">
        <f t="shared" si="232"/>
        <v>Eintracht Frankfurt</v>
      </c>
      <c r="W293" s="2">
        <f t="shared" si="230"/>
        <v>11</v>
      </c>
      <c r="Y293" s="19">
        <f>RANK(AI293,$AI$285:$AI$302,0)+COUNTIF($AI$284:AI292,AI293)</f>
        <v>11</v>
      </c>
      <c r="Z293" s="19" t="str">
        <f t="shared" si="231"/>
        <v>Eintracht Frankfurt</v>
      </c>
      <c r="AA293" s="19">
        <f>COUNTIFS(F4:F155,Z293,G4:G155,"&gt;=0")+COUNTIFS(I4:I155,Z293,H4:H155,"&gt;=0")</f>
        <v>14</v>
      </c>
      <c r="AB293" s="19">
        <f>COUNTIFS(F4:F155,Z293,B4:B155,3)+COUNTIFS(I4:I155,Z293,M4:M155,3)</f>
        <v>5</v>
      </c>
      <c r="AC293" s="19">
        <f>COUNTIFS(F4:F155,Z293,B4:B155,1)+COUNTIFS(I4:I155,Z293,M4:M155,1)</f>
        <v>3</v>
      </c>
      <c r="AD293" s="19">
        <f>COUNTIFS(F4:F155,Z293,B4:B155,0)+COUNTIFS(I4:I155,Z293,M4:M155,0)</f>
        <v>6</v>
      </c>
      <c r="AE293" s="19">
        <f>SUMIF(F4:F155,Z293,G4:G155)+SUMIF(I4:I155,Z293,H4:H155)</f>
        <v>24</v>
      </c>
      <c r="AF293" s="19">
        <f>SUMIF(F4:F155,Z293,H4:H155)+SUMIF(I4:I155,Z293,G4:G155)</f>
        <v>22</v>
      </c>
      <c r="AG293" s="19">
        <f t="shared" si="234"/>
        <v>2</v>
      </c>
      <c r="AH293" s="19">
        <f t="shared" si="240"/>
        <v>18</v>
      </c>
      <c r="AI293" s="19">
        <f t="shared" si="233"/>
        <v>18000.044000000002</v>
      </c>
      <c r="AJ293" s="2"/>
      <c r="AW293" s="7"/>
    </row>
    <row r="294" spans="1:49" x14ac:dyDescent="0.25">
      <c r="A294" s="1"/>
      <c r="B294" s="2" t="str">
        <f t="shared" si="211"/>
        <v/>
      </c>
      <c r="D294" s="61">
        <f t="shared" si="236"/>
        <v>9</v>
      </c>
      <c r="F294" s="9" t="s">
        <v>91</v>
      </c>
      <c r="G294" s="10"/>
      <c r="H294" s="10"/>
      <c r="I294" s="9" t="s">
        <v>87</v>
      </c>
      <c r="J294" s="6"/>
      <c r="K294" s="61">
        <f t="shared" si="237"/>
        <v>17</v>
      </c>
      <c r="M294" s="2" t="str">
        <f t="shared" si="235"/>
        <v/>
      </c>
      <c r="O294" s="2" t="str">
        <f t="shared" si="212"/>
        <v/>
      </c>
      <c r="P294" s="2" t="str">
        <f t="shared" si="213"/>
        <v/>
      </c>
      <c r="S294" s="2" t="str">
        <f t="shared" si="238"/>
        <v/>
      </c>
      <c r="T294" s="2" t="str">
        <f t="shared" si="239"/>
        <v/>
      </c>
      <c r="V294" s="2" t="str">
        <f t="shared" si="232"/>
        <v>FC Augsburg</v>
      </c>
      <c r="W294" s="2">
        <f t="shared" si="230"/>
        <v>12</v>
      </c>
      <c r="Y294" s="19">
        <f>RANK(AI294,$AI$285:$AI$302,0)+COUNTIF($AI$284:AI293,AI294)</f>
        <v>12</v>
      </c>
      <c r="Z294" s="19" t="str">
        <f t="shared" si="231"/>
        <v>FC Augsburg</v>
      </c>
      <c r="AA294" s="19">
        <f>COUNTIFS(F4:F155,Z294,G4:G155,"&gt;=0")+COUNTIFS(I4:I155,Z294,H4:H155,"&gt;=0")</f>
        <v>14</v>
      </c>
      <c r="AB294" s="19">
        <f>COUNTIFS(F4:F155,Z294,B4:B155,3)+COUNTIFS(I4:I155,Z294,M4:M155,3)</f>
        <v>4</v>
      </c>
      <c r="AC294" s="19">
        <f>COUNTIFS(F4:F155,Z294,B4:B155,1)+COUNTIFS(I4:I155,Z294,M4:M155,1)</f>
        <v>5</v>
      </c>
      <c r="AD294" s="19">
        <f>COUNTIFS(F4:F155,Z294,B4:B155,0)+COUNTIFS(I4:I155,Z294,M4:M155,0)</f>
        <v>5</v>
      </c>
      <c r="AE294" s="19">
        <f>SUMIF(F4:F155,Z294,G4:G155)+SUMIF(I4:I155,Z294,H4:H155)</f>
        <v>20</v>
      </c>
      <c r="AF294" s="19">
        <f>SUMIF(F4:F155,Z294,H4:H155)+SUMIF(I4:I155,Z294,G4:G155)</f>
        <v>26</v>
      </c>
      <c r="AG294" s="19">
        <f t="shared" si="234"/>
        <v>-6</v>
      </c>
      <c r="AH294" s="19">
        <f t="shared" si="240"/>
        <v>17</v>
      </c>
      <c r="AI294" s="19">
        <f t="shared" si="233"/>
        <v>16999.96</v>
      </c>
      <c r="AJ294" s="2"/>
      <c r="AW294" s="7"/>
    </row>
    <row r="295" spans="1:49" x14ac:dyDescent="0.25">
      <c r="A295" s="1"/>
      <c r="B295" s="2" t="str">
        <f t="shared" si="211"/>
        <v/>
      </c>
      <c r="D295" s="61">
        <f t="shared" si="236"/>
        <v>18</v>
      </c>
      <c r="F295" s="9" t="s">
        <v>148</v>
      </c>
      <c r="G295" s="10"/>
      <c r="H295" s="10"/>
      <c r="I295" s="9" t="s">
        <v>86</v>
      </c>
      <c r="J295" s="6"/>
      <c r="K295" s="61">
        <f t="shared" si="237"/>
        <v>8</v>
      </c>
      <c r="M295" s="2" t="str">
        <f t="shared" si="235"/>
        <v/>
      </c>
      <c r="O295" s="2" t="str">
        <f t="shared" si="212"/>
        <v/>
      </c>
      <c r="P295" s="2" t="str">
        <f t="shared" si="213"/>
        <v/>
      </c>
      <c r="S295" s="2" t="str">
        <f t="shared" si="238"/>
        <v/>
      </c>
      <c r="T295" s="2" t="str">
        <f t="shared" si="239"/>
        <v/>
      </c>
      <c r="V295" s="2" t="str">
        <f t="shared" si="232"/>
        <v>FC Schalke 04</v>
      </c>
      <c r="W295" s="2">
        <f t="shared" si="230"/>
        <v>4</v>
      </c>
      <c r="Y295" s="19">
        <f>RANK(AI295,$AI$285:$AI$302,0)+COUNTIF($AI$284:AI294,AI295)</f>
        <v>4</v>
      </c>
      <c r="Z295" s="19" t="str">
        <f t="shared" si="231"/>
        <v>FC Schalke 04</v>
      </c>
      <c r="AA295" s="19">
        <f>COUNTIFS(F4:F155,Z295,G4:G155,"&gt;=0")+COUNTIFS(I4:I155,Z295,H4:H155,"&gt;=0")</f>
        <v>14</v>
      </c>
      <c r="AB295" s="19">
        <f>COUNTIFS(F4:F155,Z295,B4:B155,3)+COUNTIFS(I4:I155,Z295,M4:M155,3)</f>
        <v>7</v>
      </c>
      <c r="AC295" s="19">
        <f>COUNTIFS(F4:F155,Z295,B4:B155,1)+COUNTIFS(I4:I155,Z295,M4:M155,1)</f>
        <v>4</v>
      </c>
      <c r="AD295" s="19">
        <f>COUNTIFS(F4:F155,Z295,B4:B155,0)+COUNTIFS(I4:I155,Z295,M4:M155,0)</f>
        <v>3</v>
      </c>
      <c r="AE295" s="19">
        <f>SUMIF(F4:F155,Z295,G4:G155)+SUMIF(I4:I155,Z295,H4:H155)</f>
        <v>25</v>
      </c>
      <c r="AF295" s="19">
        <f>SUMIF(F4:F155,Z295,H4:H155)+SUMIF(I4:I155,Z295,G4:G155)</f>
        <v>18</v>
      </c>
      <c r="AG295" s="19">
        <f t="shared" si="234"/>
        <v>7</v>
      </c>
      <c r="AH295" s="19">
        <f t="shared" si="240"/>
        <v>25</v>
      </c>
      <c r="AI295" s="19">
        <f t="shared" si="233"/>
        <v>25000.095000000001</v>
      </c>
      <c r="AJ295" s="2"/>
      <c r="AW295" s="7"/>
    </row>
    <row r="296" spans="1:49" x14ac:dyDescent="0.25">
      <c r="A296" s="1"/>
      <c r="B296" s="2" t="str">
        <f t="shared" si="211"/>
        <v/>
      </c>
      <c r="D296" s="61">
        <f t="shared" si="236"/>
        <v>11</v>
      </c>
      <c r="F296" s="9" t="s">
        <v>161</v>
      </c>
      <c r="G296" s="10"/>
      <c r="H296" s="10"/>
      <c r="I296" s="9" t="s">
        <v>89</v>
      </c>
      <c r="J296" s="6"/>
      <c r="K296" s="61">
        <f t="shared" si="237"/>
        <v>16</v>
      </c>
      <c r="M296" s="2" t="str">
        <f t="shared" si="235"/>
        <v/>
      </c>
      <c r="O296" s="2" t="str">
        <f t="shared" si="212"/>
        <v/>
      </c>
      <c r="P296" s="2" t="str">
        <f t="shared" si="213"/>
        <v/>
      </c>
      <c r="S296" s="2" t="str">
        <f t="shared" si="238"/>
        <v/>
      </c>
      <c r="T296" s="2" t="str">
        <f t="shared" si="239"/>
        <v/>
      </c>
      <c r="V296" s="2" t="str">
        <f t="shared" si="232"/>
        <v>Fortuna Düsseldorf</v>
      </c>
      <c r="W296" s="2">
        <f t="shared" si="230"/>
        <v>16</v>
      </c>
      <c r="Y296" s="19">
        <f>RANK(AI296,$AI$285:$AI$302,0)+COUNTIF($AI$284:AI295,AI296)</f>
        <v>16</v>
      </c>
      <c r="Z296" s="19" t="str">
        <f t="shared" si="231"/>
        <v>Fortuna Düsseldorf</v>
      </c>
      <c r="AA296" s="19">
        <f>COUNTIFS(F4:F155,Z296,G4:G155,"&gt;=0")+COUNTIFS(I4:I155,Z296,H4:H155,"&gt;=0")</f>
        <v>14</v>
      </c>
      <c r="AB296" s="19">
        <f>COUNTIFS(F4:F155,Z296,B4:B155,3)+COUNTIFS(I4:I155,Z296,M4:M155,3)</f>
        <v>3</v>
      </c>
      <c r="AC296" s="19">
        <f>COUNTIFS(F4:F155,Z296,B4:B155,1)+COUNTIFS(I4:I155,Z296,M4:M155,1)</f>
        <v>3</v>
      </c>
      <c r="AD296" s="19">
        <f>COUNTIFS(F4:F155,Z296,B4:B155,0)+COUNTIFS(I4:I155,Z296,M4:M155,0)</f>
        <v>8</v>
      </c>
      <c r="AE296" s="19">
        <f>SUMIF(F4:F155,Z296,G4:G155)+SUMIF(I4:I155,Z296,H4:H155)</f>
        <v>16</v>
      </c>
      <c r="AF296" s="19">
        <f>SUMIF(F4:F155,Z296,H4:H155)+SUMIF(I4:I155,Z296,G4:G155)</f>
        <v>29</v>
      </c>
      <c r="AG296" s="19">
        <f t="shared" si="234"/>
        <v>-13</v>
      </c>
      <c r="AH296" s="19">
        <f t="shared" si="240"/>
        <v>12</v>
      </c>
      <c r="AI296" s="19">
        <f t="shared" si="233"/>
        <v>11999.886</v>
      </c>
      <c r="AJ296" s="2"/>
      <c r="AW296" s="7"/>
    </row>
    <row r="297" spans="1:49" x14ac:dyDescent="0.25">
      <c r="A297" s="1"/>
      <c r="B297" s="2" t="str">
        <f t="shared" si="211"/>
        <v/>
      </c>
      <c r="D297" s="61">
        <f t="shared" si="236"/>
        <v>6</v>
      </c>
      <c r="F297" s="9" t="s">
        <v>93</v>
      </c>
      <c r="G297" s="10"/>
      <c r="H297" s="10"/>
      <c r="I297" s="9" t="s">
        <v>92</v>
      </c>
      <c r="J297" s="6"/>
      <c r="K297" s="61">
        <f t="shared" si="237"/>
        <v>13</v>
      </c>
      <c r="M297" s="2" t="str">
        <f t="shared" si="235"/>
        <v/>
      </c>
      <c r="O297" s="2" t="str">
        <f t="shared" si="212"/>
        <v/>
      </c>
      <c r="P297" s="2" t="str">
        <f t="shared" si="213"/>
        <v/>
      </c>
      <c r="S297" s="2" t="str">
        <f t="shared" si="238"/>
        <v/>
      </c>
      <c r="T297" s="2" t="str">
        <f t="shared" si="239"/>
        <v/>
      </c>
      <c r="V297" s="2" t="str">
        <f t="shared" si="232"/>
        <v>Hertha BSC</v>
      </c>
      <c r="W297" s="2">
        <f t="shared" si="230"/>
        <v>15</v>
      </c>
      <c r="Y297" s="19">
        <f>RANK(AI297,$AI$285:$AI$302,0)+COUNTIF($AI$284:AI296,AI297)</f>
        <v>15</v>
      </c>
      <c r="Z297" s="19" t="str">
        <f t="shared" si="231"/>
        <v>Hertha BSC</v>
      </c>
      <c r="AA297" s="19">
        <f>COUNTIFS(F4:F155,Z297,G4:G155,"&gt;=0")+COUNTIFS(I4:I155,Z297,H4:H155,"&gt;=0")</f>
        <v>14</v>
      </c>
      <c r="AB297" s="19">
        <f>COUNTIFS(F4:F155,Z297,B4:B155,3)+COUNTIFS(I4:I155,Z297,M4:M155,3)</f>
        <v>3</v>
      </c>
      <c r="AC297" s="19">
        <f>COUNTIFS(F4:F155,Z297,B4:B155,1)+COUNTIFS(I4:I155,Z297,M4:M155,1)</f>
        <v>3</v>
      </c>
      <c r="AD297" s="19">
        <f>COUNTIFS(F4:F155,Z297,B4:B155,0)+COUNTIFS(I4:I155,Z297,M4:M155,0)</f>
        <v>8</v>
      </c>
      <c r="AE297" s="19">
        <f>SUMIF(F4:F155,Z297,G4:G155)+SUMIF(I4:I155,Z297,H4:H155)</f>
        <v>20</v>
      </c>
      <c r="AF297" s="19">
        <f>SUMIF(F4:F155,Z297,H4:H155)+SUMIF(I4:I155,Z297,G4:G155)</f>
        <v>29</v>
      </c>
      <c r="AG297" s="19">
        <f t="shared" si="234"/>
        <v>-9</v>
      </c>
      <c r="AH297" s="19">
        <f t="shared" si="240"/>
        <v>12</v>
      </c>
      <c r="AI297" s="19">
        <f t="shared" si="233"/>
        <v>11999.93</v>
      </c>
      <c r="AJ297" s="2"/>
      <c r="AW297" s="7"/>
    </row>
    <row r="298" spans="1:49" x14ac:dyDescent="0.25">
      <c r="A298" s="1"/>
      <c r="B298" s="2" t="str">
        <f t="shared" si="211"/>
        <v/>
      </c>
      <c r="D298" s="61">
        <f t="shared" si="236"/>
        <v>14</v>
      </c>
      <c r="F298" s="9" t="s">
        <v>88</v>
      </c>
      <c r="G298" s="10"/>
      <c r="H298" s="10"/>
      <c r="I298" s="9" t="s">
        <v>162</v>
      </c>
      <c r="J298" s="6"/>
      <c r="K298" s="61">
        <f t="shared" si="237"/>
        <v>10</v>
      </c>
      <c r="M298" s="2" t="str">
        <f t="shared" si="235"/>
        <v/>
      </c>
      <c r="O298" s="2" t="str">
        <f t="shared" si="212"/>
        <v/>
      </c>
      <c r="P298" s="2" t="str">
        <f t="shared" si="213"/>
        <v/>
      </c>
      <c r="S298" s="2" t="str">
        <f t="shared" si="238"/>
        <v/>
      </c>
      <c r="T298" s="2" t="str">
        <f t="shared" si="239"/>
        <v/>
      </c>
      <c r="V298" s="2" t="str">
        <f t="shared" si="232"/>
        <v>RB Leipzig</v>
      </c>
      <c r="W298" s="2">
        <f t="shared" si="230"/>
        <v>2</v>
      </c>
      <c r="Y298" s="19">
        <f>RANK(AI298,$AI$285:$AI$302,0)+COUNTIF($AI$284:AI297,AI298)</f>
        <v>2</v>
      </c>
      <c r="Z298" s="19" t="str">
        <f t="shared" si="231"/>
        <v>RB Leipzig</v>
      </c>
      <c r="AA298" s="19">
        <f>COUNTIFS(F4:F155,Z298,G4:G155,"&gt;=0")+COUNTIFS(I4:I155,Z298,H4:H155,"&gt;=0")</f>
        <v>14</v>
      </c>
      <c r="AB298" s="19">
        <f>COUNTIFS(F4:F155,Z298,B4:B155,3)+COUNTIFS(I4:I155,Z298,M4:M155,3)</f>
        <v>9</v>
      </c>
      <c r="AC298" s="19">
        <f>COUNTIFS(F4:F155,Z298,B4:B155,1)+COUNTIFS(I4:I155,Z298,M4:M155,1)</f>
        <v>3</v>
      </c>
      <c r="AD298" s="19">
        <f>COUNTIFS(F4:F155,Z298,B4:B155,0)+COUNTIFS(I4:I155,Z298,M4:M155,0)</f>
        <v>2</v>
      </c>
      <c r="AE298" s="19">
        <f>SUMIF(F4:F155,Z298,G4:G155)+SUMIF(I4:I155,Z298,H4:H155)</f>
        <v>39</v>
      </c>
      <c r="AF298" s="19">
        <f>SUMIF(F4:F155,Z298,H4:H155)+SUMIF(I4:I155,Z298,G4:G155)</f>
        <v>16</v>
      </c>
      <c r="AG298" s="19">
        <f t="shared" si="234"/>
        <v>23</v>
      </c>
      <c r="AH298" s="19">
        <f t="shared" si="240"/>
        <v>30</v>
      </c>
      <c r="AI298" s="19">
        <f t="shared" si="233"/>
        <v>30000.269</v>
      </c>
      <c r="AJ298" s="2"/>
      <c r="AW298" s="7"/>
    </row>
    <row r="299" spans="1:49" x14ac:dyDescent="0.25">
      <c r="A299" s="1"/>
      <c r="F299" s="107"/>
      <c r="G299" s="108"/>
      <c r="H299" s="108"/>
      <c r="I299" s="107"/>
      <c r="J299" s="6"/>
      <c r="O299" s="2" t="str">
        <f t="shared" si="212"/>
        <v/>
      </c>
      <c r="P299" s="2" t="str">
        <f t="shared" si="213"/>
        <v/>
      </c>
      <c r="V299" s="2" t="str">
        <f t="shared" si="232"/>
        <v>SC Freiburg</v>
      </c>
      <c r="W299" s="2">
        <f t="shared" si="230"/>
        <v>5</v>
      </c>
      <c r="Y299" s="19">
        <f>RANK(AI299,$AI$285:$AI$302,0)+COUNTIF($AI$284:AI298,AI299)</f>
        <v>5</v>
      </c>
      <c r="Z299" s="19" t="str">
        <f t="shared" si="231"/>
        <v>SC Freiburg</v>
      </c>
      <c r="AA299" s="19">
        <f>COUNTIFS(F4:F155,Z299,G4:G155,"&gt;=0")+COUNTIFS(I4:I155,Z299,H4:H155,"&gt;=0")</f>
        <v>14</v>
      </c>
      <c r="AB299" s="19">
        <f>COUNTIFS(F4:F155,Z299,B4:B155,3)+COUNTIFS(I4:I155,Z299,M4:M155,3)</f>
        <v>7</v>
      </c>
      <c r="AC299" s="19">
        <f>COUNTIFS(F4:F155,Z299,B4:B155,1)+COUNTIFS(I4:I155,Z299,M4:M155,1)</f>
        <v>4</v>
      </c>
      <c r="AD299" s="19">
        <f>COUNTIFS(F4:F155,Z299,B4:B155,0)+COUNTIFS(I4:I155,Z299,M4:M155,0)</f>
        <v>3</v>
      </c>
      <c r="AE299" s="19">
        <f>SUMIF(F4:F155,Z299,G4:G155)+SUMIF(I4:I155,Z299,H4:H155)</f>
        <v>24</v>
      </c>
      <c r="AF299" s="19">
        <f>SUMIF(F4:F155,Z299,H4:H155)+SUMIF(I4:I155,Z299,G4:G155)</f>
        <v>17</v>
      </c>
      <c r="AG299" s="19">
        <f t="shared" si="234"/>
        <v>7</v>
      </c>
      <c r="AH299" s="19">
        <f t="shared" si="240"/>
        <v>25</v>
      </c>
      <c r="AI299" s="19">
        <f t="shared" si="233"/>
        <v>25000.094000000001</v>
      </c>
      <c r="AJ299" s="2"/>
      <c r="AW299" s="7"/>
    </row>
    <row r="300" spans="1:49" x14ac:dyDescent="0.25">
      <c r="A300" s="1"/>
      <c r="B300" s="2" t="str">
        <f t="shared" si="211"/>
        <v/>
      </c>
      <c r="F300" s="154" t="s">
        <v>67</v>
      </c>
      <c r="G300" s="154"/>
      <c r="H300" s="154"/>
      <c r="I300" s="154"/>
      <c r="J300" s="6"/>
      <c r="M300" s="2" t="str">
        <f t="shared" ref="M300:M310" si="241">IF(H300="","",IF(H300&gt;G300,3,IF(H300=G300,1,0)))</f>
        <v/>
      </c>
      <c r="O300" s="2" t="str">
        <f t="shared" si="212"/>
        <v/>
      </c>
      <c r="P300" s="2" t="str">
        <f t="shared" si="213"/>
        <v/>
      </c>
      <c r="V300" s="2" t="str">
        <f t="shared" si="232"/>
        <v>SC Paderborn 07</v>
      </c>
      <c r="W300" s="2">
        <f t="shared" si="230"/>
        <v>17</v>
      </c>
      <c r="Y300" s="19">
        <f>RANK(AI300,$AI$285:$AI$302,0)+COUNTIF($AI$284:AI299,AI300)</f>
        <v>17</v>
      </c>
      <c r="Z300" s="19" t="str">
        <f t="shared" si="231"/>
        <v>SC Paderborn 07</v>
      </c>
      <c r="AA300" s="19">
        <f>COUNTIFS(F4:F155,Z300,G4:G155,"&gt;=0")+COUNTIFS(I4:I155,Z300,H4:H155,"&gt;=0")</f>
        <v>14</v>
      </c>
      <c r="AB300" s="19">
        <f>COUNTIFS(F4:F155,Z300,B4:B155,3)+COUNTIFS(I4:I155,Z300,M4:M155,3)</f>
        <v>2</v>
      </c>
      <c r="AC300" s="19">
        <f>COUNTIFS(F4:F155,Z300,B4:B155,1)+COUNTIFS(I4:I155,Z300,M4:M155,1)</f>
        <v>2</v>
      </c>
      <c r="AD300" s="19">
        <f>COUNTIFS(F4:F155,Z300,B4:B155,0)+COUNTIFS(I4:I155,Z300,M4:M155,0)</f>
        <v>10</v>
      </c>
      <c r="AE300" s="19">
        <f>SUMIF(F4:F155,Z300,G4:G155)+SUMIF(I4:I155,Z300,H4:H155)</f>
        <v>17</v>
      </c>
      <c r="AF300" s="19">
        <f>SUMIF(F4:F155,Z300,H4:H155)+SUMIF(I4:I155,Z300,G4:G155)</f>
        <v>32</v>
      </c>
      <c r="AG300" s="19">
        <f t="shared" si="234"/>
        <v>-15</v>
      </c>
      <c r="AH300" s="19">
        <f t="shared" si="240"/>
        <v>8</v>
      </c>
      <c r="AI300" s="19">
        <f t="shared" si="233"/>
        <v>7999.8670000000002</v>
      </c>
      <c r="AJ300" s="2"/>
      <c r="AW300" s="7"/>
    </row>
    <row r="301" spans="1:49" x14ac:dyDescent="0.25">
      <c r="A301" s="1"/>
      <c r="B301" s="2" t="str">
        <f t="shared" si="211"/>
        <v/>
      </c>
      <c r="D301" s="61">
        <f t="shared" ref="D301:D309" si="242">IFERROR(VLOOKUP(F301,$V$545:$W$562,2,FALSE),"")</f>
        <v>3</v>
      </c>
      <c r="F301" s="9" t="s">
        <v>80</v>
      </c>
      <c r="G301" s="10"/>
      <c r="H301" s="10"/>
      <c r="I301" s="9" t="s">
        <v>79</v>
      </c>
      <c r="J301" s="6"/>
      <c r="K301" s="61">
        <f t="shared" ref="K301:K309" si="243">IFERROR(VLOOKUP(I301,$V$545:$W$562,2,FALSE),"")</f>
        <v>1</v>
      </c>
      <c r="M301" s="2" t="str">
        <f t="shared" si="241"/>
        <v/>
      </c>
      <c r="O301" s="2" t="str">
        <f t="shared" si="212"/>
        <v/>
      </c>
      <c r="P301" s="2" t="str">
        <f t="shared" si="213"/>
        <v/>
      </c>
      <c r="S301" s="2" t="str">
        <f t="shared" ref="S301:S309" si="244">IF(M301&lt;&gt;"",F301&amp;I301,"")</f>
        <v/>
      </c>
      <c r="T301" s="2" t="str">
        <f t="shared" ref="T301:T309" si="245">IF(S301&lt;&gt;"",G301&amp;"-"&amp;H301,"")</f>
        <v/>
      </c>
      <c r="V301" s="2" t="str">
        <f t="shared" si="232"/>
        <v>VfL Wolfsburg</v>
      </c>
      <c r="W301" s="2">
        <f t="shared" si="230"/>
        <v>9</v>
      </c>
      <c r="Y301" s="19">
        <f>RANK(AI301,$AI$285:$AI$302,0)+COUNTIF($AI$284:AI300,AI301)</f>
        <v>9</v>
      </c>
      <c r="Z301" s="19" t="str">
        <f t="shared" si="231"/>
        <v>VfL Wolfsburg</v>
      </c>
      <c r="AA301" s="19">
        <f>COUNTIFS(F4:F155,Z301,G4:G155,"&gt;=0")+COUNTIFS(I4:I155,Z301,H4:H155,"&gt;=0")</f>
        <v>14</v>
      </c>
      <c r="AB301" s="19">
        <f>COUNTIFS(F4:F155,Z301,B4:B155,3)+COUNTIFS(I4:I155,Z301,M4:M155,3)</f>
        <v>5</v>
      </c>
      <c r="AC301" s="19">
        <f>COUNTIFS(F4:F155,Z301,B4:B155,1)+COUNTIFS(I4:I155,Z301,M4:M155,1)</f>
        <v>5</v>
      </c>
      <c r="AD301" s="19">
        <f>COUNTIFS(F4:F155,Z301,B4:B155,0)+COUNTIFS(I4:I155,Z301,M4:M155,0)</f>
        <v>4</v>
      </c>
      <c r="AE301" s="19">
        <f>SUMIF(F4:F155,Z301,G4:G155)+SUMIF(I4:I155,Z301,H4:H155)</f>
        <v>15</v>
      </c>
      <c r="AF301" s="19">
        <f>SUMIF(F4:F155,Z301,H4:H155)+SUMIF(I4:I155,Z301,G4:G155)</f>
        <v>14</v>
      </c>
      <c r="AG301" s="19">
        <f t="shared" si="234"/>
        <v>1</v>
      </c>
      <c r="AH301" s="19">
        <f t="shared" si="240"/>
        <v>20</v>
      </c>
      <c r="AI301" s="19">
        <f t="shared" si="233"/>
        <v>20000.024999999998</v>
      </c>
      <c r="AJ301" s="2"/>
      <c r="AW301" s="7"/>
    </row>
    <row r="302" spans="1:49" x14ac:dyDescent="0.25">
      <c r="A302" s="1"/>
      <c r="B302" s="2" t="str">
        <f t="shared" si="211"/>
        <v/>
      </c>
      <c r="D302" s="61">
        <f t="shared" si="242"/>
        <v>17</v>
      </c>
      <c r="F302" s="9" t="s">
        <v>87</v>
      </c>
      <c r="G302" s="10"/>
      <c r="H302" s="10"/>
      <c r="I302" s="9" t="s">
        <v>82</v>
      </c>
      <c r="J302" s="6"/>
      <c r="K302" s="61">
        <f t="shared" si="243"/>
        <v>4</v>
      </c>
      <c r="M302" s="2" t="str">
        <f t="shared" si="241"/>
        <v/>
      </c>
      <c r="O302" s="2" t="str">
        <f t="shared" si="212"/>
        <v/>
      </c>
      <c r="P302" s="2" t="str">
        <f t="shared" si="213"/>
        <v/>
      </c>
      <c r="S302" s="2" t="str">
        <f t="shared" si="244"/>
        <v/>
      </c>
      <c r="T302" s="2" t="str">
        <f t="shared" si="245"/>
        <v/>
      </c>
      <c r="V302" s="2" t="str">
        <f t="shared" si="232"/>
        <v>Werder Bremen</v>
      </c>
      <c r="W302" s="2">
        <f t="shared" si="230"/>
        <v>14</v>
      </c>
      <c r="Y302" s="19">
        <f>RANK(AI302,$AI$285:$AI$302,0)+COUNTIF($AI$284:AI301,AI302)</f>
        <v>14</v>
      </c>
      <c r="Z302" s="19" t="str">
        <f t="shared" si="231"/>
        <v>Werder Bremen</v>
      </c>
      <c r="AA302" s="19">
        <f>COUNTIFS(F4:F155,Z302,G4:G155,"&gt;=0")+COUNTIFS(I4:I155,Z302,H4:H155,"&gt;=0")</f>
        <v>14</v>
      </c>
      <c r="AB302" s="19">
        <f>COUNTIFS(F4:F155,Z302,B4:B155,3)+COUNTIFS(I4:I155,Z302,M4:M155,3)</f>
        <v>3</v>
      </c>
      <c r="AC302" s="19">
        <f>COUNTIFS(F4:F155,Z302,B4:B155,1)+COUNTIFS(I4:I155,Z302,M4:M155,1)</f>
        <v>5</v>
      </c>
      <c r="AD302" s="19">
        <f>COUNTIFS(F4:F155,Z302,B4:B155,0)+COUNTIFS(I4:I155,Z302,M4:M155,0)</f>
        <v>6</v>
      </c>
      <c r="AE302" s="19">
        <f>SUMIF(F4:F155,Z302,G4:G155)+SUMIF(I4:I155,Z302,H4:H155)</f>
        <v>22</v>
      </c>
      <c r="AF302" s="19">
        <f>SUMIF(F4:F155,Z302,H4:H155)+SUMIF(I4:I155,Z302,G4:G155)</f>
        <v>29</v>
      </c>
      <c r="AG302" s="19">
        <f t="shared" si="234"/>
        <v>-7</v>
      </c>
      <c r="AH302" s="19">
        <f t="shared" si="240"/>
        <v>14</v>
      </c>
      <c r="AI302" s="19">
        <f t="shared" si="233"/>
        <v>13999.952000000001</v>
      </c>
      <c r="AJ302" s="2"/>
      <c r="AW302" s="7"/>
    </row>
    <row r="303" spans="1:49" x14ac:dyDescent="0.25">
      <c r="A303" s="1"/>
      <c r="B303" s="2" t="str">
        <f t="shared" si="211"/>
        <v/>
      </c>
      <c r="D303" s="61">
        <f t="shared" si="242"/>
        <v>5</v>
      </c>
      <c r="F303" s="9" t="s">
        <v>83</v>
      </c>
      <c r="G303" s="10"/>
      <c r="H303" s="10"/>
      <c r="I303" s="9" t="s">
        <v>85</v>
      </c>
      <c r="J303" s="6"/>
      <c r="K303" s="61">
        <f t="shared" si="243"/>
        <v>7</v>
      </c>
      <c r="M303" s="2" t="str">
        <f t="shared" si="241"/>
        <v/>
      </c>
      <c r="O303" s="2" t="str">
        <f t="shared" si="212"/>
        <v/>
      </c>
      <c r="P303" s="2" t="str">
        <f t="shared" si="213"/>
        <v/>
      </c>
      <c r="S303" s="2" t="str">
        <f t="shared" si="244"/>
        <v/>
      </c>
      <c r="T303" s="2" t="str">
        <f t="shared" si="245"/>
        <v/>
      </c>
      <c r="AJ303" s="2"/>
      <c r="AW303" s="7"/>
    </row>
    <row r="304" spans="1:49" x14ac:dyDescent="0.25">
      <c r="A304" s="1"/>
      <c r="B304" s="2" t="str">
        <f t="shared" si="211"/>
        <v/>
      </c>
      <c r="D304" s="61">
        <f t="shared" si="242"/>
        <v>2</v>
      </c>
      <c r="F304" s="9" t="s">
        <v>81</v>
      </c>
      <c r="G304" s="10"/>
      <c r="H304" s="10"/>
      <c r="I304" s="9" t="s">
        <v>88</v>
      </c>
      <c r="J304" s="6"/>
      <c r="K304" s="61">
        <f t="shared" si="243"/>
        <v>14</v>
      </c>
      <c r="M304" s="2" t="str">
        <f t="shared" si="241"/>
        <v/>
      </c>
      <c r="O304" s="2" t="str">
        <f t="shared" si="212"/>
        <v/>
      </c>
      <c r="P304" s="2" t="str">
        <f t="shared" si="213"/>
        <v/>
      </c>
      <c r="S304" s="2" t="str">
        <f t="shared" si="244"/>
        <v/>
      </c>
      <c r="T304" s="2" t="str">
        <f t="shared" si="245"/>
        <v/>
      </c>
      <c r="W304" s="18">
        <v>15</v>
      </c>
      <c r="Y304" s="19"/>
      <c r="Z304" s="19" t="s">
        <v>1</v>
      </c>
      <c r="AA304" s="19" t="s">
        <v>2</v>
      </c>
      <c r="AB304" s="19" t="s">
        <v>3</v>
      </c>
      <c r="AC304" s="19" t="s">
        <v>4</v>
      </c>
      <c r="AD304" s="19" t="s">
        <v>5</v>
      </c>
      <c r="AE304" s="19" t="s">
        <v>6</v>
      </c>
      <c r="AF304" s="19" t="s">
        <v>7</v>
      </c>
      <c r="AG304" s="19" t="s">
        <v>8</v>
      </c>
      <c r="AH304" s="19" t="s">
        <v>9</v>
      </c>
      <c r="AI304" s="19" t="s">
        <v>0</v>
      </c>
      <c r="AJ304" s="2"/>
      <c r="AW304" s="7"/>
    </row>
    <row r="305" spans="1:49" x14ac:dyDescent="0.25">
      <c r="A305" s="1"/>
      <c r="B305" s="2" t="str">
        <f t="shared" si="211"/>
        <v/>
      </c>
      <c r="D305" s="61">
        <f t="shared" si="242"/>
        <v>10</v>
      </c>
      <c r="F305" s="9" t="s">
        <v>162</v>
      </c>
      <c r="G305" s="10"/>
      <c r="H305" s="10"/>
      <c r="I305" s="9" t="s">
        <v>90</v>
      </c>
      <c r="J305" s="6"/>
      <c r="K305" s="61">
        <f t="shared" si="243"/>
        <v>15</v>
      </c>
      <c r="M305" s="2" t="str">
        <f t="shared" si="241"/>
        <v/>
      </c>
      <c r="O305" s="2" t="str">
        <f t="shared" si="212"/>
        <v/>
      </c>
      <c r="P305" s="2" t="str">
        <f t="shared" si="213"/>
        <v/>
      </c>
      <c r="S305" s="2" t="str">
        <f t="shared" si="244"/>
        <v/>
      </c>
      <c r="T305" s="2" t="str">
        <f t="shared" si="245"/>
        <v/>
      </c>
      <c r="V305" s="2" t="str">
        <f>CONCATENATE(Z305)</f>
        <v>1. FC Köln</v>
      </c>
      <c r="W305" s="2">
        <f t="shared" ref="W305:W322" si="246">Y305</f>
        <v>17</v>
      </c>
      <c r="Y305" s="19">
        <f>RANK(AI305,$AI$305:$AI$322,0)+COUNTIF($AI$304:AI304,AI305)</f>
        <v>17</v>
      </c>
      <c r="Z305" s="19" t="str">
        <f t="shared" ref="Z305:Z322" si="247">CONCATENATE(Z5)</f>
        <v>1. FC Köln</v>
      </c>
      <c r="AA305" s="19">
        <f>COUNTIFS(F4:F166,Z305,G4:G166,"&gt;=0")+COUNTIFS(I4:I166,Z305,H4:H166,"&gt;=0")</f>
        <v>15</v>
      </c>
      <c r="AB305" s="19">
        <f>COUNTIFS(F4:F166,Z305,B4:B166,3)+COUNTIFS(I4:I166,Z305,M4:M166,3)</f>
        <v>3</v>
      </c>
      <c r="AC305" s="19">
        <f>COUNTIFS(F4:F166,Z305,B4:B166,1)+COUNTIFS(I4:I166,Z305,M4:M166,1)</f>
        <v>2</v>
      </c>
      <c r="AD305" s="19">
        <f>COUNTIFS(F4:F166,Z305,B4:B166,0)+COUNTIFS(I4:I166,Z305,M4:M166,0)</f>
        <v>10</v>
      </c>
      <c r="AE305" s="19">
        <f>SUMIF(F4:F166,Z305,G4:G166)+SUMIF(I4:I166,Z305,H4:H166)</f>
        <v>14</v>
      </c>
      <c r="AF305" s="19">
        <f>SUMIF(F4:F166,Z305,H4:H166)+SUMIF(I4:I166,Z305,G4:G166)</f>
        <v>30</v>
      </c>
      <c r="AG305" s="19">
        <f>+AE305-AF305</f>
        <v>-16</v>
      </c>
      <c r="AH305" s="19">
        <f>(AB305*3)+AC305</f>
        <v>11</v>
      </c>
      <c r="AI305" s="19">
        <f>SUM(AH305*1000+(AG305)/100+(AE305)/1000)</f>
        <v>10999.853999999999</v>
      </c>
      <c r="AJ305" s="2"/>
      <c r="AW305" s="7"/>
    </row>
    <row r="306" spans="1:49" x14ac:dyDescent="0.25">
      <c r="A306" s="1"/>
      <c r="B306" s="2" t="str">
        <f t="shared" si="211"/>
        <v/>
      </c>
      <c r="D306" s="61">
        <f t="shared" si="242"/>
        <v>12</v>
      </c>
      <c r="F306" s="9" t="s">
        <v>84</v>
      </c>
      <c r="G306" s="10"/>
      <c r="H306" s="10"/>
      <c r="I306" s="9" t="s">
        <v>91</v>
      </c>
      <c r="J306" s="6"/>
      <c r="K306" s="61">
        <f t="shared" si="243"/>
        <v>9</v>
      </c>
      <c r="M306" s="2" t="str">
        <f t="shared" si="241"/>
        <v/>
      </c>
      <c r="O306" s="2" t="str">
        <f t="shared" si="212"/>
        <v/>
      </c>
      <c r="P306" s="2" t="str">
        <f t="shared" si="213"/>
        <v/>
      </c>
      <c r="S306" s="2" t="str">
        <f t="shared" si="244"/>
        <v/>
      </c>
      <c r="T306" s="2" t="str">
        <f t="shared" si="245"/>
        <v/>
      </c>
      <c r="V306" s="2" t="str">
        <f t="shared" ref="V306:V322" si="248">CONCATENATE(Z306)</f>
        <v>1. FC Union Berlin</v>
      </c>
      <c r="W306" s="2">
        <f t="shared" si="246"/>
        <v>10</v>
      </c>
      <c r="Y306" s="19">
        <f>RANK(AI306,$AI$305:$AI$322,0)+COUNTIF($AI$304:AI305,AI306)</f>
        <v>10</v>
      </c>
      <c r="Z306" s="19" t="str">
        <f t="shared" si="247"/>
        <v>1. FC Union Berlin</v>
      </c>
      <c r="AA306" s="19">
        <f>COUNTIFS(F4:F166,Z306,G4:G166,"&gt;=0")+COUNTIFS(I4:I166,Z306,H4:H166,"&gt;=0")</f>
        <v>15</v>
      </c>
      <c r="AB306" s="19">
        <f>COUNTIFS(F4:F166,Z306,B4:B166,3)+COUNTIFS(I4:I166,Z306,M4:M166,3)</f>
        <v>6</v>
      </c>
      <c r="AC306" s="19">
        <f>COUNTIFS(F4:F166,Z306,B4:B166,1)+COUNTIFS(I4:I166,Z306,M4:M166,1)</f>
        <v>2</v>
      </c>
      <c r="AD306" s="19">
        <f>COUNTIFS(F4:F166,Z306,B4:B166,0)+COUNTIFS(I4:I166,Z306,M4:M166,0)</f>
        <v>7</v>
      </c>
      <c r="AE306" s="19">
        <f>SUMIF(F4:F166,Z306,G4:G166)+SUMIF(I4:I166,Z306,H4:H166)</f>
        <v>19</v>
      </c>
      <c r="AF306" s="19">
        <f>SUMIF(F4:F166,Z306,H4:H166)+SUMIF(I4:I166,Z306,G4:G166)</f>
        <v>20</v>
      </c>
      <c r="AG306" s="19">
        <f>+AE306-AF306</f>
        <v>-1</v>
      </c>
      <c r="AH306" s="19">
        <f>(AB306*3)+AC306</f>
        <v>20</v>
      </c>
      <c r="AI306" s="19">
        <f t="shared" ref="AI306:AI322" si="249">SUM(AH306*1000+(AG306)/100+(AE306)/1000)</f>
        <v>20000.009000000002</v>
      </c>
      <c r="AJ306" s="2"/>
      <c r="AW306" s="7"/>
    </row>
    <row r="307" spans="1:49" x14ac:dyDescent="0.25">
      <c r="A307" s="1"/>
      <c r="B307" s="2" t="str">
        <f t="shared" si="211"/>
        <v/>
      </c>
      <c r="D307" s="61">
        <f t="shared" si="242"/>
        <v>16</v>
      </c>
      <c r="F307" s="9" t="s">
        <v>89</v>
      </c>
      <c r="G307" s="10"/>
      <c r="H307" s="10"/>
      <c r="I307" s="9" t="s">
        <v>93</v>
      </c>
      <c r="J307" s="6"/>
      <c r="K307" s="61">
        <f t="shared" si="243"/>
        <v>6</v>
      </c>
      <c r="M307" s="2" t="str">
        <f t="shared" si="241"/>
        <v/>
      </c>
      <c r="O307" s="2" t="str">
        <f t="shared" si="212"/>
        <v/>
      </c>
      <c r="P307" s="2" t="str">
        <f t="shared" si="213"/>
        <v/>
      </c>
      <c r="S307" s="2" t="str">
        <f t="shared" si="244"/>
        <v/>
      </c>
      <c r="T307" s="2" t="str">
        <f t="shared" si="245"/>
        <v/>
      </c>
      <c r="V307" s="2" t="str">
        <f t="shared" si="248"/>
        <v>1. FSV Mainz 05</v>
      </c>
      <c r="W307" s="2">
        <f t="shared" si="246"/>
        <v>14</v>
      </c>
      <c r="Y307" s="19">
        <f>RANK(AI307,$AI$305:$AI$322,0)+COUNTIF($AI$304:AI306,AI307)</f>
        <v>14</v>
      </c>
      <c r="Z307" s="19" t="str">
        <f t="shared" si="247"/>
        <v>1. FSV Mainz 05</v>
      </c>
      <c r="AA307" s="19">
        <f>COUNTIFS(F4:F166,Z307,G4:G166,"&gt;=0")+COUNTIFS(I4:I166,Z307,H4:H166,"&gt;=0")</f>
        <v>15</v>
      </c>
      <c r="AB307" s="19">
        <f>COUNTIFS(F4:F166,Z307,B4:B166,3)+COUNTIFS(I4:I166,Z307,M4:M166,3)</f>
        <v>5</v>
      </c>
      <c r="AC307" s="19">
        <f>COUNTIFS(F4:F166,Z307,B4:B166,1)+COUNTIFS(I4:I166,Z307,M4:M166,1)</f>
        <v>0</v>
      </c>
      <c r="AD307" s="19">
        <f>COUNTIFS(F4:F166,Z307,B4:B166,0)+COUNTIFS(I4:I166,Z307,M4:M166,0)</f>
        <v>10</v>
      </c>
      <c r="AE307" s="19">
        <f>SUMIF(F4:F166,Z307,G4:G166)+SUMIF(I4:I166,Z307,H4:H166)</f>
        <v>20</v>
      </c>
      <c r="AF307" s="19">
        <f>SUMIF(F4:F166,Z307,H4:H166)+SUMIF(I4:I166,Z307,G4:G166)</f>
        <v>38</v>
      </c>
      <c r="AG307" s="19">
        <f>+AE307-AF307</f>
        <v>-18</v>
      </c>
      <c r="AH307" s="19">
        <f>(AB307*3)+AC307</f>
        <v>15</v>
      </c>
      <c r="AI307" s="19">
        <f t="shared" si="249"/>
        <v>14999.84</v>
      </c>
      <c r="AJ307" s="2"/>
      <c r="AW307" s="7"/>
    </row>
    <row r="308" spans="1:49" x14ac:dyDescent="0.25">
      <c r="A308" s="1"/>
      <c r="B308" s="2" t="str">
        <f t="shared" si="211"/>
        <v/>
      </c>
      <c r="D308" s="61">
        <f t="shared" si="242"/>
        <v>8</v>
      </c>
      <c r="F308" s="9" t="s">
        <v>86</v>
      </c>
      <c r="G308" s="10"/>
      <c r="H308" s="10"/>
      <c r="I308" s="9" t="s">
        <v>161</v>
      </c>
      <c r="J308" s="6"/>
      <c r="K308" s="61">
        <f t="shared" si="243"/>
        <v>11</v>
      </c>
      <c r="M308" s="2" t="str">
        <f t="shared" si="241"/>
        <v/>
      </c>
      <c r="O308" s="2" t="str">
        <f t="shared" si="212"/>
        <v/>
      </c>
      <c r="P308" s="2" t="str">
        <f t="shared" si="213"/>
        <v/>
      </c>
      <c r="S308" s="2" t="str">
        <f t="shared" si="244"/>
        <v/>
      </c>
      <c r="T308" s="2" t="str">
        <f t="shared" si="245"/>
        <v/>
      </c>
      <c r="V308" s="2" t="str">
        <f t="shared" si="248"/>
        <v>1899 Hoffenheim</v>
      </c>
      <c r="W308" s="2">
        <f t="shared" si="246"/>
        <v>9</v>
      </c>
      <c r="Y308" s="19">
        <f>RANK(AI308,$AI$305:$AI$322,0)+COUNTIF($AI$304:AI307,AI308)</f>
        <v>9</v>
      </c>
      <c r="Z308" s="19" t="str">
        <f t="shared" si="247"/>
        <v>1899 Hoffenheim</v>
      </c>
      <c r="AA308" s="19">
        <f>COUNTIFS(F4:F166,Z308,G4:G166,"&gt;=0")+COUNTIFS(I4:I166,Z308,H4:H166,"&gt;=0")</f>
        <v>15</v>
      </c>
      <c r="AB308" s="19">
        <f>COUNTIFS(F4:F166,Z308,B4:B166,3)+COUNTIFS(I4:I166,Z308,M4:M166,3)</f>
        <v>6</v>
      </c>
      <c r="AC308" s="19">
        <f>COUNTIFS(F4:F166,Z308,B4:B166,1)+COUNTIFS(I4:I166,Z308,M4:M166,1)</f>
        <v>3</v>
      </c>
      <c r="AD308" s="19">
        <f>COUNTIFS(F4:F166,Z308,B4:B166,0)+COUNTIFS(I4:I166,Z308,M4:M166,0)</f>
        <v>6</v>
      </c>
      <c r="AE308" s="19">
        <f>SUMIF(F4:F166,Z308,G4:G166)+SUMIF(I4:I166,Z308,H4:H166)</f>
        <v>21</v>
      </c>
      <c r="AF308" s="19">
        <f>SUMIF(F4:F166,Z308,H4:H166)+SUMIF(I4:I166,Z308,G4:G166)</f>
        <v>27</v>
      </c>
      <c r="AG308" s="19">
        <f t="shared" ref="AG308:AG322" si="250">+AE308-AF308</f>
        <v>-6</v>
      </c>
      <c r="AH308" s="19">
        <f>(AB308*3)+AC308</f>
        <v>21</v>
      </c>
      <c r="AI308" s="19">
        <f t="shared" si="249"/>
        <v>20999.960999999999</v>
      </c>
      <c r="AJ308" s="2"/>
      <c r="AW308" s="7"/>
    </row>
    <row r="309" spans="1:49" x14ac:dyDescent="0.25">
      <c r="A309" s="1"/>
      <c r="B309" s="2" t="str">
        <f t="shared" si="211"/>
        <v/>
      </c>
      <c r="D309" s="61">
        <f t="shared" si="242"/>
        <v>13</v>
      </c>
      <c r="F309" s="9" t="s">
        <v>92</v>
      </c>
      <c r="G309" s="10"/>
      <c r="H309" s="10"/>
      <c r="I309" s="9" t="s">
        <v>148</v>
      </c>
      <c r="J309" s="6"/>
      <c r="K309" s="61">
        <f t="shared" si="243"/>
        <v>18</v>
      </c>
      <c r="M309" s="2" t="str">
        <f t="shared" si="241"/>
        <v/>
      </c>
      <c r="O309" s="2" t="str">
        <f t="shared" si="212"/>
        <v/>
      </c>
      <c r="P309" s="2" t="str">
        <f t="shared" si="213"/>
        <v/>
      </c>
      <c r="S309" s="2" t="str">
        <f t="shared" si="244"/>
        <v/>
      </c>
      <c r="T309" s="2" t="str">
        <f t="shared" si="245"/>
        <v/>
      </c>
      <c r="V309" s="2" t="str">
        <f t="shared" si="248"/>
        <v>Bayer Leverkusen</v>
      </c>
      <c r="W309" s="2">
        <f t="shared" si="246"/>
        <v>7</v>
      </c>
      <c r="Y309" s="19">
        <f>RANK(AI309,$AI$305:$AI$322,0)+COUNTIF($AI$304:AI308,AI309)</f>
        <v>7</v>
      </c>
      <c r="Z309" s="19" t="str">
        <f t="shared" si="247"/>
        <v>Bayer Leverkusen</v>
      </c>
      <c r="AA309" s="19">
        <f>COUNTIFS(F4:F166,Z309,G4:G166,"&gt;=0")+COUNTIFS(I4:I166,Z309,H4:H166,"&gt;=0")</f>
        <v>15</v>
      </c>
      <c r="AB309" s="19">
        <f>COUNTIFS(F4:F166,Z309,B4:B166,3)+COUNTIFS(I4:I166,Z309,M4:M166,3)</f>
        <v>7</v>
      </c>
      <c r="AC309" s="19">
        <f>COUNTIFS(F4:F166,Z309,B4:B166,1)+COUNTIFS(I4:I166,Z309,M4:M166,1)</f>
        <v>4</v>
      </c>
      <c r="AD309" s="19">
        <f>COUNTIFS(F4:F166,Z309,B4:B166,0)+COUNTIFS(I4:I166,Z309,M4:M166,0)</f>
        <v>4</v>
      </c>
      <c r="AE309" s="19">
        <f>SUMIF(F4:F166,Z309,G4:G166)+SUMIF(I4:I166,Z309,H4:H166)</f>
        <v>22</v>
      </c>
      <c r="AF309" s="19">
        <f>SUMIF(F4:F166,Z309,H4:H166)+SUMIF(I4:I166,Z309,G4:G166)</f>
        <v>20</v>
      </c>
      <c r="AG309" s="19">
        <f t="shared" si="250"/>
        <v>2</v>
      </c>
      <c r="AH309" s="19">
        <f>(AB309*3)+AC309</f>
        <v>25</v>
      </c>
      <c r="AI309" s="19">
        <f t="shared" si="249"/>
        <v>25000.042000000001</v>
      </c>
      <c r="AJ309" s="2"/>
      <c r="AW309" s="7"/>
    </row>
    <row r="310" spans="1:49" x14ac:dyDescent="0.25">
      <c r="A310" s="1"/>
      <c r="B310" s="2" t="str">
        <f t="shared" si="211"/>
        <v/>
      </c>
      <c r="F310" s="107"/>
      <c r="G310" s="108"/>
      <c r="H310" s="108"/>
      <c r="I310" s="107"/>
      <c r="J310" s="6"/>
      <c r="M310" s="2" t="str">
        <f t="shared" si="241"/>
        <v/>
      </c>
      <c r="O310" s="2" t="str">
        <f t="shared" si="212"/>
        <v/>
      </c>
      <c r="P310" s="2" t="str">
        <f t="shared" si="213"/>
        <v/>
      </c>
      <c r="V310" s="2" t="str">
        <f t="shared" si="248"/>
        <v>Bayern München</v>
      </c>
      <c r="W310" s="2">
        <f t="shared" si="246"/>
        <v>5</v>
      </c>
      <c r="Y310" s="19">
        <f>RANK(AI310,$AI$305:$AI$322,0)+COUNTIF($AI$304:AI309,AI310)</f>
        <v>5</v>
      </c>
      <c r="Z310" s="19" t="str">
        <f t="shared" si="247"/>
        <v>Bayern München</v>
      </c>
      <c r="AA310" s="19">
        <f>COUNTIFS(F4:F166,Z310,G4:G166,"&gt;=0")+COUNTIFS(I4:I166,Z310,H4:H166,"&gt;=0")</f>
        <v>15</v>
      </c>
      <c r="AB310" s="19">
        <f>COUNTIFS(F4:F166,Z310,B4:B166,3)+COUNTIFS(I4:I166,Z310,M4:M166,3)</f>
        <v>8</v>
      </c>
      <c r="AC310" s="19">
        <f>COUNTIFS(F4:F166,Z310,B4:B166,1)+COUNTIFS(I4:I166,Z310,M4:M166,1)</f>
        <v>3</v>
      </c>
      <c r="AD310" s="19">
        <f>COUNTIFS(F4:F166,Z310,B4:B166,0)+COUNTIFS(I4:I166,Z310,M4:M166,0)</f>
        <v>4</v>
      </c>
      <c r="AE310" s="19">
        <f>SUMIF(F4:F166,Z310,G4:G166)+SUMIF(I4:I166,Z310,H4:H166)</f>
        <v>41</v>
      </c>
      <c r="AF310" s="19">
        <f>SUMIF(F4:F166,Z310,H4:H166)+SUMIF(I4:I166,Z310,G4:G166)</f>
        <v>21</v>
      </c>
      <c r="AG310" s="19">
        <f t="shared" si="250"/>
        <v>20</v>
      </c>
      <c r="AH310" s="19">
        <f t="shared" ref="AH310:AH322" si="251">(AB310*3)+AC310</f>
        <v>27</v>
      </c>
      <c r="AI310" s="19">
        <f t="shared" si="249"/>
        <v>27000.241000000002</v>
      </c>
      <c r="AJ310" s="2"/>
      <c r="AW310" s="7"/>
    </row>
    <row r="311" spans="1:49" x14ac:dyDescent="0.25">
      <c r="A311" s="1"/>
      <c r="B311" s="2" t="str">
        <f t="shared" si="211"/>
        <v/>
      </c>
      <c r="F311" s="154" t="s">
        <v>68</v>
      </c>
      <c r="G311" s="154"/>
      <c r="H311" s="154"/>
      <c r="I311" s="154"/>
      <c r="J311" s="6"/>
      <c r="M311" s="2" t="str">
        <f t="shared" ref="M311:M320" si="252">IF(H311="","",IF(H311&gt;G311,3,IF(H311=G311,1,0)))</f>
        <v/>
      </c>
      <c r="O311" s="2" t="str">
        <f t="shared" si="212"/>
        <v/>
      </c>
      <c r="P311" s="2" t="str">
        <f t="shared" si="213"/>
        <v/>
      </c>
      <c r="V311" s="2" t="str">
        <f t="shared" si="248"/>
        <v>Bor. Mönchengladbach</v>
      </c>
      <c r="W311" s="2">
        <f t="shared" si="246"/>
        <v>2</v>
      </c>
      <c r="Y311" s="19">
        <f>RANK(AI311,$AI$305:$AI$322,0)+COUNTIF($AI$304:AI310,AI311)</f>
        <v>2</v>
      </c>
      <c r="Z311" s="19" t="str">
        <f t="shared" si="247"/>
        <v>Bor. Mönchengladbach</v>
      </c>
      <c r="AA311" s="19">
        <f>COUNTIFS(F4:F166,Z311,G4:G166,"&gt;=0")+COUNTIFS(I4:I166,Z311,H4:H166,"&gt;=0")</f>
        <v>15</v>
      </c>
      <c r="AB311" s="19">
        <f>COUNTIFS(F4:F166,Z311,B4:B166,3)+COUNTIFS(I4:I166,Z311,M4:M166,3)</f>
        <v>10</v>
      </c>
      <c r="AC311" s="19">
        <f>COUNTIFS(F4:F166,Z311,B4:B166,1)+COUNTIFS(I4:I166,Z311,M4:M166,1)</f>
        <v>1</v>
      </c>
      <c r="AD311" s="19">
        <f>COUNTIFS(F4:F166,Z311,B4:B166,0)+COUNTIFS(I4:I166,Z311,M4:M166,0)</f>
        <v>4</v>
      </c>
      <c r="AE311" s="19">
        <f>SUMIF(F4:F166,Z311,G4:G166)+SUMIF(I4:I166,Z311,H4:H166)</f>
        <v>31</v>
      </c>
      <c r="AF311" s="19">
        <f>SUMIF(F4:F166,Z311,H4:H166)+SUMIF(I4:I166,Z311,G4:G166)</f>
        <v>18</v>
      </c>
      <c r="AG311" s="19">
        <f t="shared" si="250"/>
        <v>13</v>
      </c>
      <c r="AH311" s="19">
        <f t="shared" si="251"/>
        <v>31</v>
      </c>
      <c r="AI311" s="19">
        <f t="shared" si="249"/>
        <v>31000.161</v>
      </c>
      <c r="AW311" s="7"/>
    </row>
    <row r="312" spans="1:49" x14ac:dyDescent="0.25">
      <c r="A312" s="1"/>
      <c r="B312" s="2" t="str">
        <f t="shared" si="211"/>
        <v/>
      </c>
      <c r="D312" s="61">
        <f t="shared" ref="D312:D320" si="253">IFERROR(VLOOKUP(F312,$V$565:$W$582,2,FALSE),"")</f>
        <v>18</v>
      </c>
      <c r="F312" s="9" t="s">
        <v>148</v>
      </c>
      <c r="G312" s="10"/>
      <c r="H312" s="10"/>
      <c r="I312" s="9" t="s">
        <v>80</v>
      </c>
      <c r="J312" s="6"/>
      <c r="K312" s="61">
        <f t="shared" ref="K312:K320" si="254">IFERROR(VLOOKUP(I312,$V$565:$W$582,2,FALSE),"")</f>
        <v>3</v>
      </c>
      <c r="M312" s="2" t="str">
        <f t="shared" si="252"/>
        <v/>
      </c>
      <c r="O312" s="2" t="str">
        <f t="shared" si="212"/>
        <v/>
      </c>
      <c r="P312" s="2" t="str">
        <f t="shared" si="213"/>
        <v/>
      </c>
      <c r="S312" s="2" t="str">
        <f t="shared" ref="S312:S320" si="255">IF(M312&lt;&gt;"",F312&amp;I312,"")</f>
        <v/>
      </c>
      <c r="T312" s="2" t="str">
        <f t="shared" ref="T312:T320" si="256">IF(S312&lt;&gt;"",G312&amp;"-"&amp;H312,"")</f>
        <v/>
      </c>
      <c r="V312" s="2" t="str">
        <f t="shared" si="248"/>
        <v>Borussia Dortmund</v>
      </c>
      <c r="W312" s="2">
        <f t="shared" si="246"/>
        <v>3</v>
      </c>
      <c r="Y312" s="19">
        <f>RANK(AI312,$AI$305:$AI$322,0)+COUNTIF($AI$304:AI311,AI312)</f>
        <v>3</v>
      </c>
      <c r="Z312" s="19" t="str">
        <f t="shared" si="247"/>
        <v>Borussia Dortmund</v>
      </c>
      <c r="AA312" s="19">
        <f>COUNTIFS(F4:F166,Z312,G4:G166,"&gt;=0")+COUNTIFS(I4:I166,Z312,H4:H166,"&gt;=0")</f>
        <v>15</v>
      </c>
      <c r="AB312" s="19">
        <f>COUNTIFS(F4:F166,Z312,B4:B166,3)+COUNTIFS(I4:I166,Z312,M4:M166,3)</f>
        <v>8</v>
      </c>
      <c r="AC312" s="19">
        <f>COUNTIFS(F4:F166,Z312,B4:B166,1)+COUNTIFS(I4:I166,Z312,M4:M166,1)</f>
        <v>5</v>
      </c>
      <c r="AD312" s="19">
        <f>COUNTIFS(F4:F166,Z312,B4:B166,0)+COUNTIFS(I4:I166,Z312,M4:M166,0)</f>
        <v>2</v>
      </c>
      <c r="AE312" s="19">
        <f>SUMIF(F4:F166,Z312,G4:G166)+SUMIF(I4:I166,Z312,H4:H166)</f>
        <v>37</v>
      </c>
      <c r="AF312" s="19">
        <f>SUMIF(F4:F166,Z312,H4:H166)+SUMIF(I4:I166,Z312,G4:G166)</f>
        <v>19</v>
      </c>
      <c r="AG312" s="19">
        <f t="shared" si="250"/>
        <v>18</v>
      </c>
      <c r="AH312" s="19">
        <f t="shared" si="251"/>
        <v>29</v>
      </c>
      <c r="AI312" s="19">
        <f t="shared" si="249"/>
        <v>29000.217000000001</v>
      </c>
      <c r="AJ312" s="2"/>
      <c r="AW312" s="7"/>
    </row>
    <row r="313" spans="1:49" x14ac:dyDescent="0.25">
      <c r="A313" s="1"/>
      <c r="B313" s="2" t="str">
        <f t="shared" si="211"/>
        <v/>
      </c>
      <c r="D313" s="61">
        <f t="shared" si="253"/>
        <v>11</v>
      </c>
      <c r="F313" s="9" t="s">
        <v>161</v>
      </c>
      <c r="G313" s="10"/>
      <c r="H313" s="10"/>
      <c r="I313" s="9" t="s">
        <v>81</v>
      </c>
      <c r="J313" s="6"/>
      <c r="K313" s="61">
        <f t="shared" si="254"/>
        <v>2</v>
      </c>
      <c r="M313" s="2" t="str">
        <f t="shared" si="252"/>
        <v/>
      </c>
      <c r="O313" s="2" t="str">
        <f t="shared" si="212"/>
        <v/>
      </c>
      <c r="P313" s="2" t="str">
        <f t="shared" si="213"/>
        <v/>
      </c>
      <c r="S313" s="2" t="str">
        <f t="shared" si="255"/>
        <v/>
      </c>
      <c r="T313" s="2" t="str">
        <f t="shared" si="256"/>
        <v/>
      </c>
      <c r="V313" s="2" t="str">
        <f t="shared" si="248"/>
        <v>Eintracht Frankfurt</v>
      </c>
      <c r="W313" s="2">
        <f t="shared" si="246"/>
        <v>12</v>
      </c>
      <c r="Y313" s="19">
        <f>RANK(AI313,$AI$305:$AI$322,0)+COUNTIF($AI$304:AI312,AI313)</f>
        <v>12</v>
      </c>
      <c r="Z313" s="19" t="str">
        <f t="shared" si="247"/>
        <v>Eintracht Frankfurt</v>
      </c>
      <c r="AA313" s="19">
        <f>COUNTIFS(F4:F166,Z313,G4:G166,"&gt;=0")+COUNTIFS(I4:I166,Z313,H4:H166,"&gt;=0")</f>
        <v>15</v>
      </c>
      <c r="AB313" s="19">
        <f>COUNTIFS(F4:F166,Z313,B4:B166,3)+COUNTIFS(I4:I166,Z313,M4:M166,3)</f>
        <v>5</v>
      </c>
      <c r="AC313" s="19">
        <f>COUNTIFS(F4:F166,Z313,B4:B166,1)+COUNTIFS(I4:I166,Z313,M4:M166,1)</f>
        <v>3</v>
      </c>
      <c r="AD313" s="19">
        <f>COUNTIFS(F4:F166,Z313,B4:B166,0)+COUNTIFS(I4:I166,Z313,M4:M166,0)</f>
        <v>7</v>
      </c>
      <c r="AE313" s="19">
        <f>SUMIF(F4:F166,Z313,G4:G166)+SUMIF(I4:I166,Z313,H4:H166)</f>
        <v>24</v>
      </c>
      <c r="AF313" s="19">
        <f>SUMIF(F4:F166,Z313,H4:H166)+SUMIF(I4:I166,Z313,G4:G166)</f>
        <v>23</v>
      </c>
      <c r="AG313" s="19">
        <f t="shared" si="250"/>
        <v>1</v>
      </c>
      <c r="AH313" s="19">
        <f t="shared" si="251"/>
        <v>18</v>
      </c>
      <c r="AI313" s="19">
        <f t="shared" si="249"/>
        <v>18000.034</v>
      </c>
      <c r="AJ313" s="2"/>
      <c r="AW313" s="7"/>
    </row>
    <row r="314" spans="1:49" x14ac:dyDescent="0.25">
      <c r="A314" s="1"/>
      <c r="B314" s="2" t="str">
        <f t="shared" si="211"/>
        <v/>
      </c>
      <c r="D314" s="61">
        <f t="shared" si="253"/>
        <v>9</v>
      </c>
      <c r="F314" s="9" t="s">
        <v>91</v>
      </c>
      <c r="G314" s="10"/>
      <c r="H314" s="10"/>
      <c r="I314" s="9" t="s">
        <v>83</v>
      </c>
      <c r="J314" s="6"/>
      <c r="K314" s="61">
        <f t="shared" si="254"/>
        <v>5</v>
      </c>
      <c r="M314" s="2" t="str">
        <f t="shared" si="252"/>
        <v/>
      </c>
      <c r="O314" s="2" t="str">
        <f t="shared" si="212"/>
        <v/>
      </c>
      <c r="P314" s="2" t="str">
        <f t="shared" si="213"/>
        <v/>
      </c>
      <c r="S314" s="2" t="str">
        <f t="shared" si="255"/>
        <v/>
      </c>
      <c r="T314" s="2" t="str">
        <f t="shared" si="256"/>
        <v/>
      </c>
      <c r="V314" s="2" t="str">
        <f t="shared" si="248"/>
        <v>FC Augsburg</v>
      </c>
      <c r="W314" s="2">
        <f t="shared" si="246"/>
        <v>11</v>
      </c>
      <c r="Y314" s="19">
        <f>RANK(AI314,$AI$305:$AI$322,0)+COUNTIF($AI$304:AI313,AI314)</f>
        <v>11</v>
      </c>
      <c r="Z314" s="19" t="str">
        <f t="shared" si="247"/>
        <v>FC Augsburg</v>
      </c>
      <c r="AA314" s="19">
        <f>COUNTIFS(F4:F166,Z314,G4:G166,"&gt;=0")+COUNTIFS(I4:I166,Z314,H4:H166,"&gt;=0")</f>
        <v>15</v>
      </c>
      <c r="AB314" s="19">
        <f>COUNTIFS(F4:F166,Z314,B4:B166,3)+COUNTIFS(I4:I166,Z314,M4:M166,3)</f>
        <v>5</v>
      </c>
      <c r="AC314" s="19">
        <f>COUNTIFS(F4:F166,Z314,B4:B166,1)+COUNTIFS(I4:I166,Z314,M4:M166,1)</f>
        <v>5</v>
      </c>
      <c r="AD314" s="19">
        <f>COUNTIFS(F4:F166,Z314,B4:B166,0)+COUNTIFS(I4:I166,Z314,M4:M166,0)</f>
        <v>5</v>
      </c>
      <c r="AE314" s="19">
        <f>SUMIF(F4:F166,Z314,G4:G166)+SUMIF(I4:I166,Z314,H4:H166)</f>
        <v>24</v>
      </c>
      <c r="AF314" s="19">
        <f>SUMIF(F4:F166,Z314,H4:H166)+SUMIF(I4:I166,Z314,G4:G166)</f>
        <v>28</v>
      </c>
      <c r="AG314" s="19">
        <f t="shared" si="250"/>
        <v>-4</v>
      </c>
      <c r="AH314" s="19">
        <f t="shared" si="251"/>
        <v>20</v>
      </c>
      <c r="AI314" s="19">
        <f t="shared" si="249"/>
        <v>19999.984</v>
      </c>
      <c r="AJ314" s="2"/>
      <c r="AW314" s="7"/>
    </row>
    <row r="315" spans="1:49" x14ac:dyDescent="0.25">
      <c r="A315" s="1"/>
      <c r="B315" s="2" t="str">
        <f t="shared" si="211"/>
        <v/>
      </c>
      <c r="D315" s="61">
        <f t="shared" si="253"/>
        <v>7</v>
      </c>
      <c r="F315" s="9" t="s">
        <v>85</v>
      </c>
      <c r="G315" s="10"/>
      <c r="H315" s="10"/>
      <c r="I315" s="9" t="s">
        <v>84</v>
      </c>
      <c r="J315" s="6"/>
      <c r="K315" s="61">
        <f t="shared" si="254"/>
        <v>12</v>
      </c>
      <c r="M315" s="2" t="str">
        <f t="shared" si="252"/>
        <v/>
      </c>
      <c r="O315" s="2" t="str">
        <f t="shared" si="212"/>
        <v/>
      </c>
      <c r="P315" s="2" t="str">
        <f t="shared" si="213"/>
        <v/>
      </c>
      <c r="S315" s="2" t="str">
        <f t="shared" si="255"/>
        <v/>
      </c>
      <c r="T315" s="2" t="str">
        <f t="shared" si="256"/>
        <v/>
      </c>
      <c r="V315" s="2" t="str">
        <f t="shared" si="248"/>
        <v>FC Schalke 04</v>
      </c>
      <c r="W315" s="2">
        <f t="shared" si="246"/>
        <v>4</v>
      </c>
      <c r="Y315" s="19">
        <f>RANK(AI315,$AI$305:$AI$322,0)+COUNTIF($AI$304:AI314,AI315)</f>
        <v>4</v>
      </c>
      <c r="Z315" s="19" t="str">
        <f t="shared" si="247"/>
        <v>FC Schalke 04</v>
      </c>
      <c r="AA315" s="19">
        <f>COUNTIFS(F4:F166,Z315,G4:G166,"&gt;=0")+COUNTIFS(I4:I166,Z315,H4:H166,"&gt;=0")</f>
        <v>15</v>
      </c>
      <c r="AB315" s="19">
        <f>COUNTIFS(F4:F166,Z315,B4:B166,3)+COUNTIFS(I4:I166,Z315,M4:M166,3)</f>
        <v>8</v>
      </c>
      <c r="AC315" s="19">
        <f>COUNTIFS(F4:F166,Z315,B4:B166,1)+COUNTIFS(I4:I166,Z315,M4:M166,1)</f>
        <v>4</v>
      </c>
      <c r="AD315" s="19">
        <f>COUNTIFS(F4:F166,Z315,B4:B166,0)+COUNTIFS(I4:I166,Z315,M4:M166,0)</f>
        <v>3</v>
      </c>
      <c r="AE315" s="19">
        <f>SUMIF(F4:F166,Z315,G4:G166)+SUMIF(I4:I166,Z315,H4:H166)</f>
        <v>26</v>
      </c>
      <c r="AF315" s="19">
        <f>SUMIF(F4:F166,Z315,H4:H166)+SUMIF(I4:I166,Z315,G4:G166)</f>
        <v>18</v>
      </c>
      <c r="AG315" s="19">
        <f t="shared" si="250"/>
        <v>8</v>
      </c>
      <c r="AH315" s="19">
        <f t="shared" si="251"/>
        <v>28</v>
      </c>
      <c r="AI315" s="19">
        <f t="shared" si="249"/>
        <v>28000.106000000003</v>
      </c>
      <c r="AJ315" s="2"/>
      <c r="AW315" s="7"/>
    </row>
    <row r="316" spans="1:49" x14ac:dyDescent="0.25">
      <c r="A316" s="1"/>
      <c r="B316" s="2" t="str">
        <f t="shared" si="211"/>
        <v/>
      </c>
      <c r="D316" s="61">
        <f t="shared" si="253"/>
        <v>6</v>
      </c>
      <c r="F316" s="9" t="s">
        <v>93</v>
      </c>
      <c r="G316" s="10"/>
      <c r="H316" s="10"/>
      <c r="I316" s="9" t="s">
        <v>87</v>
      </c>
      <c r="J316" s="6"/>
      <c r="K316" s="61">
        <f t="shared" si="254"/>
        <v>17</v>
      </c>
      <c r="M316" s="2" t="str">
        <f t="shared" si="252"/>
        <v/>
      </c>
      <c r="O316" s="2" t="str">
        <f t="shared" si="212"/>
        <v/>
      </c>
      <c r="P316" s="2" t="str">
        <f t="shared" si="213"/>
        <v/>
      </c>
      <c r="S316" s="2" t="str">
        <f t="shared" si="255"/>
        <v/>
      </c>
      <c r="T316" s="2" t="str">
        <f t="shared" si="256"/>
        <v/>
      </c>
      <c r="V316" s="2" t="str">
        <f t="shared" si="248"/>
        <v>Fortuna Düsseldorf</v>
      </c>
      <c r="W316" s="2">
        <f t="shared" si="246"/>
        <v>16</v>
      </c>
      <c r="Y316" s="19">
        <f>RANK(AI316,$AI$305:$AI$322,0)+COUNTIF($AI$304:AI315,AI316)</f>
        <v>16</v>
      </c>
      <c r="Z316" s="19" t="str">
        <f t="shared" si="247"/>
        <v>Fortuna Düsseldorf</v>
      </c>
      <c r="AA316" s="19">
        <f>COUNTIFS(F4:F166,Z316,G4:G166,"&gt;=0")+COUNTIFS(I4:I166,Z316,H4:H166,"&gt;=0")</f>
        <v>15</v>
      </c>
      <c r="AB316" s="19">
        <f>COUNTIFS(F4:F166,Z316,B4:B166,3)+COUNTIFS(I4:I166,Z316,M4:M166,3)</f>
        <v>3</v>
      </c>
      <c r="AC316" s="19">
        <f>COUNTIFS(F4:F166,Z316,B4:B166,1)+COUNTIFS(I4:I166,Z316,M4:M166,1)</f>
        <v>3</v>
      </c>
      <c r="AD316" s="19">
        <f>COUNTIFS(F4:F166,Z316,B4:B166,0)+COUNTIFS(I4:I166,Z316,M4:M166,0)</f>
        <v>9</v>
      </c>
      <c r="AE316" s="19">
        <f>SUMIF(F4:F166,Z316,G4:G166)+SUMIF(I4:I166,Z316,H4:H166)</f>
        <v>16</v>
      </c>
      <c r="AF316" s="19">
        <f>SUMIF(F4:F166,Z316,H4:H166)+SUMIF(I4:I166,Z316,G4:G166)</f>
        <v>32</v>
      </c>
      <c r="AG316" s="19">
        <f t="shared" si="250"/>
        <v>-16</v>
      </c>
      <c r="AH316" s="19">
        <f t="shared" si="251"/>
        <v>12</v>
      </c>
      <c r="AI316" s="19">
        <f t="shared" si="249"/>
        <v>11999.856</v>
      </c>
      <c r="AJ316" s="2"/>
      <c r="AW316" s="7"/>
    </row>
    <row r="317" spans="1:49" x14ac:dyDescent="0.25">
      <c r="A317" s="1"/>
      <c r="B317" s="2" t="str">
        <f t="shared" si="211"/>
        <v/>
      </c>
      <c r="D317" s="61">
        <f t="shared" si="253"/>
        <v>15</v>
      </c>
      <c r="F317" s="9" t="s">
        <v>90</v>
      </c>
      <c r="G317" s="10"/>
      <c r="H317" s="10"/>
      <c r="I317" s="9" t="s">
        <v>86</v>
      </c>
      <c r="J317" s="6"/>
      <c r="K317" s="61">
        <f t="shared" si="254"/>
        <v>8</v>
      </c>
      <c r="M317" s="2" t="str">
        <f t="shared" si="252"/>
        <v/>
      </c>
      <c r="O317" s="2" t="str">
        <f t="shared" si="212"/>
        <v/>
      </c>
      <c r="P317" s="2" t="str">
        <f t="shared" si="213"/>
        <v/>
      </c>
      <c r="S317" s="2" t="str">
        <f t="shared" si="255"/>
        <v/>
      </c>
      <c r="T317" s="2" t="str">
        <f t="shared" si="256"/>
        <v/>
      </c>
      <c r="V317" s="2" t="str">
        <f t="shared" si="248"/>
        <v>Hertha BSC</v>
      </c>
      <c r="W317" s="2">
        <f t="shared" si="246"/>
        <v>13</v>
      </c>
      <c r="Y317" s="19">
        <f>RANK(AI317,$AI$305:$AI$322,0)+COUNTIF($AI$304:AI316,AI317)</f>
        <v>13</v>
      </c>
      <c r="Z317" s="19" t="str">
        <f t="shared" si="247"/>
        <v>Hertha BSC</v>
      </c>
      <c r="AA317" s="19">
        <f>COUNTIFS(F4:F166,Z317,G4:G166,"&gt;=0")+COUNTIFS(I4:I166,Z317,H4:H166,"&gt;=0")</f>
        <v>15</v>
      </c>
      <c r="AB317" s="19">
        <f>COUNTIFS(F4:F166,Z317,B4:B166,3)+COUNTIFS(I4:I166,Z317,M4:M166,3)</f>
        <v>4</v>
      </c>
      <c r="AC317" s="19">
        <f>COUNTIFS(F4:F166,Z317,B4:B166,1)+COUNTIFS(I4:I166,Z317,M4:M166,1)</f>
        <v>3</v>
      </c>
      <c r="AD317" s="19">
        <f>COUNTIFS(F4:F166,Z317,B4:B166,0)+COUNTIFS(I4:I166,Z317,M4:M166,0)</f>
        <v>8</v>
      </c>
      <c r="AE317" s="19">
        <f>SUMIF(F4:F166,Z317,G4:G166)+SUMIF(I4:I166,Z317,H4:H166)</f>
        <v>21</v>
      </c>
      <c r="AF317" s="19">
        <f>SUMIF(F4:F166,Z317,H4:H166)+SUMIF(I4:I166,Z317,G4:G166)</f>
        <v>29</v>
      </c>
      <c r="AG317" s="19">
        <f t="shared" si="250"/>
        <v>-8</v>
      </c>
      <c r="AH317" s="19">
        <f t="shared" si="251"/>
        <v>15</v>
      </c>
      <c r="AI317" s="19">
        <f t="shared" si="249"/>
        <v>14999.941000000001</v>
      </c>
      <c r="AJ317" s="2"/>
      <c r="AW317" s="7"/>
    </row>
    <row r="318" spans="1:49" x14ac:dyDescent="0.25">
      <c r="A318" s="1"/>
      <c r="B318" s="2" t="str">
        <f t="shared" si="211"/>
        <v/>
      </c>
      <c r="D318" s="61">
        <f t="shared" si="253"/>
        <v>1</v>
      </c>
      <c r="F318" s="9" t="s">
        <v>79</v>
      </c>
      <c r="G318" s="10"/>
      <c r="H318" s="10"/>
      <c r="I318" s="9" t="s">
        <v>89</v>
      </c>
      <c r="J318" s="6"/>
      <c r="K318" s="61">
        <f t="shared" si="254"/>
        <v>16</v>
      </c>
      <c r="M318" s="2" t="str">
        <f t="shared" si="252"/>
        <v/>
      </c>
      <c r="O318" s="2" t="str">
        <f t="shared" si="212"/>
        <v/>
      </c>
      <c r="P318" s="2" t="str">
        <f t="shared" si="213"/>
        <v/>
      </c>
      <c r="S318" s="2" t="str">
        <f t="shared" si="255"/>
        <v/>
      </c>
      <c r="T318" s="2" t="str">
        <f t="shared" si="256"/>
        <v/>
      </c>
      <c r="V318" s="2" t="str">
        <f t="shared" si="248"/>
        <v>RB Leipzig</v>
      </c>
      <c r="W318" s="2">
        <f t="shared" si="246"/>
        <v>1</v>
      </c>
      <c r="Y318" s="19">
        <f>RANK(AI318,$AI$305:$AI$322,0)+COUNTIF($AI$304:AI317,AI318)</f>
        <v>1</v>
      </c>
      <c r="Z318" s="19" t="str">
        <f t="shared" si="247"/>
        <v>RB Leipzig</v>
      </c>
      <c r="AA318" s="19">
        <f>COUNTIFS(F4:F166,Z318,G4:G166,"&gt;=0")+COUNTIFS(I4:I166,Z318,H4:H166,"&gt;=0")</f>
        <v>15</v>
      </c>
      <c r="AB318" s="19">
        <f>COUNTIFS(F4:F166,Z318,B4:B166,3)+COUNTIFS(I4:I166,Z318,M4:M166,3)</f>
        <v>10</v>
      </c>
      <c r="AC318" s="19">
        <f>COUNTIFS(F4:F166,Z318,B4:B166,1)+COUNTIFS(I4:I166,Z318,M4:M166,1)</f>
        <v>3</v>
      </c>
      <c r="AD318" s="19">
        <f>COUNTIFS(F4:F166,Z318,B4:B166,0)+COUNTIFS(I4:I166,Z318,M4:M166,0)</f>
        <v>2</v>
      </c>
      <c r="AE318" s="19">
        <f>SUMIF(F4:F166,Z318,G4:G166)+SUMIF(I4:I166,Z318,H4:H166)</f>
        <v>42</v>
      </c>
      <c r="AF318" s="19">
        <f>SUMIF(F4:F166,Z318,H4:H166)+SUMIF(I4:I166,Z318,G4:G166)</f>
        <v>16</v>
      </c>
      <c r="AG318" s="19">
        <f t="shared" si="250"/>
        <v>26</v>
      </c>
      <c r="AH318" s="19">
        <f t="shared" si="251"/>
        <v>33</v>
      </c>
      <c r="AI318" s="19">
        <f t="shared" si="249"/>
        <v>33000.302000000003</v>
      </c>
      <c r="AJ318" s="2"/>
      <c r="AW318" s="7"/>
    </row>
    <row r="319" spans="1:49" x14ac:dyDescent="0.25">
      <c r="A319" s="1"/>
      <c r="B319" s="2" t="str">
        <f t="shared" si="211"/>
        <v/>
      </c>
      <c r="D319" s="61">
        <f t="shared" si="253"/>
        <v>14</v>
      </c>
      <c r="F319" s="9" t="s">
        <v>88</v>
      </c>
      <c r="G319" s="10"/>
      <c r="H319" s="10"/>
      <c r="I319" s="9" t="s">
        <v>92</v>
      </c>
      <c r="J319" s="6"/>
      <c r="K319" s="61">
        <f t="shared" si="254"/>
        <v>13</v>
      </c>
      <c r="M319" s="2" t="str">
        <f t="shared" si="252"/>
        <v/>
      </c>
      <c r="O319" s="2" t="str">
        <f t="shared" si="212"/>
        <v/>
      </c>
      <c r="P319" s="2" t="str">
        <f t="shared" si="213"/>
        <v/>
      </c>
      <c r="S319" s="2" t="str">
        <f t="shared" si="255"/>
        <v/>
      </c>
      <c r="T319" s="2" t="str">
        <f t="shared" si="256"/>
        <v/>
      </c>
      <c r="V319" s="2" t="str">
        <f t="shared" si="248"/>
        <v>SC Freiburg</v>
      </c>
      <c r="W319" s="2">
        <f t="shared" si="246"/>
        <v>6</v>
      </c>
      <c r="Y319" s="19">
        <f>RANK(AI319,$AI$305:$AI$322,0)+COUNTIF($AI$304:AI318,AI319)</f>
        <v>6</v>
      </c>
      <c r="Z319" s="19" t="str">
        <f t="shared" si="247"/>
        <v>SC Freiburg</v>
      </c>
      <c r="AA319" s="19">
        <f>COUNTIFS(F4:F166,Z319,G4:G166,"&gt;=0")+COUNTIFS(I4:I166,Z319,H4:H166,"&gt;=0")</f>
        <v>15</v>
      </c>
      <c r="AB319" s="19">
        <f>COUNTIFS(F4:F166,Z319,B4:B166,3)+COUNTIFS(I4:I166,Z319,M4:M166,3)</f>
        <v>7</v>
      </c>
      <c r="AC319" s="19">
        <f>COUNTIFS(F4:F166,Z319,B4:B166,1)+COUNTIFS(I4:I166,Z319,M4:M166,1)</f>
        <v>4</v>
      </c>
      <c r="AD319" s="19">
        <f>COUNTIFS(F4:F166,Z319,B4:B166,0)+COUNTIFS(I4:I166,Z319,M4:M166,0)</f>
        <v>4</v>
      </c>
      <c r="AE319" s="19">
        <f>SUMIF(F4:F166,Z319,G4:G166)+SUMIF(I4:I166,Z319,H4:H166)</f>
        <v>24</v>
      </c>
      <c r="AF319" s="19">
        <f>SUMIF(F4:F166,Z319,H4:H166)+SUMIF(I4:I166,Z319,G4:G166)</f>
        <v>18</v>
      </c>
      <c r="AG319" s="19">
        <f t="shared" si="250"/>
        <v>6</v>
      </c>
      <c r="AH319" s="19">
        <f t="shared" si="251"/>
        <v>25</v>
      </c>
      <c r="AI319" s="19">
        <f t="shared" si="249"/>
        <v>25000.084000000003</v>
      </c>
      <c r="AJ319" s="2"/>
      <c r="AW319" s="7"/>
    </row>
    <row r="320" spans="1:49" x14ac:dyDescent="0.25">
      <c r="A320" s="1"/>
      <c r="B320" s="2" t="str">
        <f t="shared" si="211"/>
        <v/>
      </c>
      <c r="D320" s="61">
        <f t="shared" si="253"/>
        <v>4</v>
      </c>
      <c r="F320" s="9" t="s">
        <v>82</v>
      </c>
      <c r="G320" s="10"/>
      <c r="H320" s="10"/>
      <c r="I320" s="9" t="s">
        <v>162</v>
      </c>
      <c r="J320" s="6"/>
      <c r="K320" s="61">
        <f t="shared" si="254"/>
        <v>10</v>
      </c>
      <c r="M320" s="2" t="str">
        <f t="shared" si="252"/>
        <v/>
      </c>
      <c r="O320" s="2" t="str">
        <f t="shared" si="212"/>
        <v/>
      </c>
      <c r="P320" s="2" t="str">
        <f t="shared" si="213"/>
        <v/>
      </c>
      <c r="S320" s="2" t="str">
        <f t="shared" si="255"/>
        <v/>
      </c>
      <c r="T320" s="2" t="str">
        <f t="shared" si="256"/>
        <v/>
      </c>
      <c r="V320" s="2" t="str">
        <f t="shared" si="248"/>
        <v>SC Paderborn 07</v>
      </c>
      <c r="W320" s="2">
        <f t="shared" si="246"/>
        <v>18</v>
      </c>
      <c r="Y320" s="19">
        <f>RANK(AI320,$AI$305:$AI$322,0)+COUNTIF($AI$304:AI319,AI320)</f>
        <v>18</v>
      </c>
      <c r="Z320" s="19" t="str">
        <f t="shared" si="247"/>
        <v>SC Paderborn 07</v>
      </c>
      <c r="AA320" s="19">
        <f>COUNTIFS(F4:F166,Z320,G4:G166,"&gt;=0")+COUNTIFS(I4:I166,Z320,H4:H166,"&gt;=0")</f>
        <v>15</v>
      </c>
      <c r="AB320" s="19">
        <f>COUNTIFS(F4:F166,Z320,B4:B166,3)+COUNTIFS(I4:I166,Z320,M4:M166,3)</f>
        <v>2</v>
      </c>
      <c r="AC320" s="19">
        <f>COUNTIFS(F4:F166,Z320,B4:B166,1)+COUNTIFS(I4:I166,Z320,M4:M166,1)</f>
        <v>3</v>
      </c>
      <c r="AD320" s="19">
        <f>COUNTIFS(F4:F166,Z320,B4:B166,0)+COUNTIFS(I4:I166,Z320,M4:M166,0)</f>
        <v>10</v>
      </c>
      <c r="AE320" s="19">
        <f>SUMIF(F4:F166,Z320,G4:G166)+SUMIF(I4:I166,Z320,H4:H166)</f>
        <v>18</v>
      </c>
      <c r="AF320" s="19">
        <f>SUMIF(F4:F166,Z320,H4:H166)+SUMIF(I4:I166,Z320,G4:G166)</f>
        <v>33</v>
      </c>
      <c r="AG320" s="19">
        <f t="shared" si="250"/>
        <v>-15</v>
      </c>
      <c r="AH320" s="19">
        <f t="shared" si="251"/>
        <v>9</v>
      </c>
      <c r="AI320" s="19">
        <f t="shared" si="249"/>
        <v>8999.8680000000004</v>
      </c>
      <c r="AJ320" s="2"/>
      <c r="AW320" s="7"/>
    </row>
    <row r="321" spans="1:49" x14ac:dyDescent="0.25">
      <c r="A321" s="1"/>
      <c r="F321" s="107"/>
      <c r="G321" s="108"/>
      <c r="H321" s="108"/>
      <c r="I321" s="107"/>
      <c r="J321" s="6"/>
      <c r="O321" s="2" t="str">
        <f t="shared" si="212"/>
        <v/>
      </c>
      <c r="P321" s="2" t="str">
        <f t="shared" si="213"/>
        <v/>
      </c>
      <c r="V321" s="2" t="str">
        <f t="shared" si="248"/>
        <v>VfL Wolfsburg</v>
      </c>
      <c r="W321" s="2">
        <f t="shared" si="246"/>
        <v>8</v>
      </c>
      <c r="Y321" s="19">
        <f>RANK(AI321,$AI$305:$AI$322,0)+COUNTIF($AI$304:AI320,AI321)</f>
        <v>8</v>
      </c>
      <c r="Z321" s="19" t="str">
        <f t="shared" si="247"/>
        <v>VfL Wolfsburg</v>
      </c>
      <c r="AA321" s="19">
        <f>COUNTIFS(F4:F166,Z321,G4:G166,"&gt;=0")+COUNTIFS(I4:I166,Z321,H4:H166,"&gt;=0")</f>
        <v>15</v>
      </c>
      <c r="AB321" s="19">
        <f>COUNTIFS(F4:F166,Z321,B4:B166,3)+COUNTIFS(I4:I166,Z321,M4:M166,3)</f>
        <v>6</v>
      </c>
      <c r="AC321" s="19">
        <f>COUNTIFS(F4:F166,Z321,B4:B166,1)+COUNTIFS(I4:I166,Z321,M4:M166,1)</f>
        <v>5</v>
      </c>
      <c r="AD321" s="19">
        <f>COUNTIFS(F4:F166,Z321,B4:B166,0)+COUNTIFS(I4:I166,Z321,M4:M166,0)</f>
        <v>4</v>
      </c>
      <c r="AE321" s="19">
        <f>SUMIF(F4:F166,Z321,G4:G166)+SUMIF(I4:I166,Z321,H4:H166)</f>
        <v>17</v>
      </c>
      <c r="AF321" s="19">
        <f>SUMIF(F4:F166,Z321,H4:H166)+SUMIF(I4:I166,Z321,G4:G166)</f>
        <v>15</v>
      </c>
      <c r="AG321" s="19">
        <f t="shared" si="250"/>
        <v>2</v>
      </c>
      <c r="AH321" s="19">
        <f t="shared" si="251"/>
        <v>23</v>
      </c>
      <c r="AI321" s="19">
        <f t="shared" si="249"/>
        <v>23000.037</v>
      </c>
      <c r="AJ321" s="2"/>
      <c r="AW321" s="7"/>
    </row>
    <row r="322" spans="1:49" x14ac:dyDescent="0.25">
      <c r="A322" s="1"/>
      <c r="B322" s="2" t="str">
        <f t="shared" ref="B322:B375" si="257">IF(G322="","",IF(G322&gt;H322,3,IF(G322=H322,1,0)))</f>
        <v/>
      </c>
      <c r="F322" s="154" t="s">
        <v>69</v>
      </c>
      <c r="G322" s="154"/>
      <c r="H322" s="154"/>
      <c r="I322" s="154"/>
      <c r="J322" s="6"/>
      <c r="M322" s="2" t="str">
        <f t="shared" ref="M322:M331" si="258">IF(H322="","",IF(H322&gt;G322,3,IF(H322=G322,1,0)))</f>
        <v/>
      </c>
      <c r="O322" s="2" t="str">
        <f t="shared" si="212"/>
        <v/>
      </c>
      <c r="P322" s="2" t="str">
        <f t="shared" si="213"/>
        <v/>
      </c>
      <c r="V322" s="2" t="str">
        <f t="shared" si="248"/>
        <v>Werder Bremen</v>
      </c>
      <c r="W322" s="2">
        <f t="shared" si="246"/>
        <v>15</v>
      </c>
      <c r="Y322" s="19">
        <f>RANK(AI322,$AI$305:$AI$322,0)+COUNTIF($AI$304:AI321,AI322)</f>
        <v>15</v>
      </c>
      <c r="Z322" s="19" t="str">
        <f t="shared" si="247"/>
        <v>Werder Bremen</v>
      </c>
      <c r="AA322" s="19">
        <f>COUNTIFS(F4:F166,Z322,G4:G166,"&gt;=0")+COUNTIFS(I4:I166,Z322,H4:H166,"&gt;=0")</f>
        <v>15</v>
      </c>
      <c r="AB322" s="19">
        <f>COUNTIFS(F4:F166,Z322,B4:B166,3)+COUNTIFS(I4:I166,Z322,M4:M166,3)</f>
        <v>3</v>
      </c>
      <c r="AC322" s="19">
        <f>COUNTIFS(F4:F166,Z322,B4:B166,1)+COUNTIFS(I4:I166,Z322,M4:M166,1)</f>
        <v>5</v>
      </c>
      <c r="AD322" s="19">
        <f>COUNTIFS(F4:F166,Z322,B4:B166,0)+COUNTIFS(I4:I166,Z322,M4:M166,0)</f>
        <v>7</v>
      </c>
      <c r="AE322" s="19">
        <f>SUMIF(F4:F166,Z322,G4:G166)+SUMIF(I4:I166,Z322,H4:H166)</f>
        <v>23</v>
      </c>
      <c r="AF322" s="19">
        <f>SUMIF(F4:F166,Z322,H4:H166)+SUMIF(I4:I166,Z322,G4:G166)</f>
        <v>35</v>
      </c>
      <c r="AG322" s="19">
        <f t="shared" si="250"/>
        <v>-12</v>
      </c>
      <c r="AH322" s="19">
        <f t="shared" si="251"/>
        <v>14</v>
      </c>
      <c r="AI322" s="19">
        <f t="shared" si="249"/>
        <v>13999.902999999998</v>
      </c>
      <c r="AJ322" s="2"/>
      <c r="AW322" s="7"/>
    </row>
    <row r="323" spans="1:49" x14ac:dyDescent="0.25">
      <c r="A323" s="1"/>
      <c r="B323" s="2" t="str">
        <f t="shared" si="257"/>
        <v/>
      </c>
      <c r="D323" s="61">
        <f t="shared" ref="D323:D331" si="259">IFERROR(VLOOKUP(F323,$V$585:$W$602,2,FALSE),"")</f>
        <v>5</v>
      </c>
      <c r="F323" s="9" t="s">
        <v>83</v>
      </c>
      <c r="G323" s="10"/>
      <c r="H323" s="10"/>
      <c r="I323" s="9" t="s">
        <v>79</v>
      </c>
      <c r="J323" s="6"/>
      <c r="K323" s="61">
        <f t="shared" ref="K323:K331" si="260">IFERROR(VLOOKUP(I323,$V$585:$W$602,2,FALSE),"")</f>
        <v>1</v>
      </c>
      <c r="M323" s="2" t="str">
        <f t="shared" si="258"/>
        <v/>
      </c>
      <c r="O323" s="2" t="str">
        <f t="shared" si="212"/>
        <v/>
      </c>
      <c r="P323" s="2" t="str">
        <f t="shared" si="213"/>
        <v/>
      </c>
      <c r="S323" s="2" t="str">
        <f t="shared" ref="S323:S331" si="261">IF(M323&lt;&gt;"",F323&amp;I323,"")</f>
        <v/>
      </c>
      <c r="T323" s="2" t="str">
        <f t="shared" ref="T323:T331" si="262">IF(S323&lt;&gt;"",G323&amp;"-"&amp;H323,"")</f>
        <v/>
      </c>
      <c r="AJ323" s="2"/>
      <c r="AW323" s="7"/>
    </row>
    <row r="324" spans="1:49" x14ac:dyDescent="0.25">
      <c r="A324" s="1"/>
      <c r="B324" s="2" t="str">
        <f t="shared" si="257"/>
        <v/>
      </c>
      <c r="D324" s="61">
        <f t="shared" si="259"/>
        <v>9</v>
      </c>
      <c r="F324" s="9" t="s">
        <v>91</v>
      </c>
      <c r="G324" s="10"/>
      <c r="H324" s="10"/>
      <c r="I324" s="9" t="s">
        <v>82</v>
      </c>
      <c r="J324" s="6"/>
      <c r="K324" s="61">
        <f t="shared" si="260"/>
        <v>4</v>
      </c>
      <c r="M324" s="2" t="str">
        <f t="shared" si="258"/>
        <v/>
      </c>
      <c r="O324" s="2" t="str">
        <f t="shared" si="212"/>
        <v/>
      </c>
      <c r="P324" s="2" t="str">
        <f t="shared" si="213"/>
        <v/>
      </c>
      <c r="S324" s="2" t="str">
        <f t="shared" si="261"/>
        <v/>
      </c>
      <c r="T324" s="2" t="str">
        <f t="shared" si="262"/>
        <v/>
      </c>
      <c r="W324" s="18">
        <v>16</v>
      </c>
      <c r="Y324" s="19"/>
      <c r="Z324" s="19" t="s">
        <v>1</v>
      </c>
      <c r="AA324" s="19" t="s">
        <v>2</v>
      </c>
      <c r="AB324" s="19" t="s">
        <v>3</v>
      </c>
      <c r="AC324" s="19" t="s">
        <v>4</v>
      </c>
      <c r="AD324" s="19" t="s">
        <v>5</v>
      </c>
      <c r="AE324" s="19" t="s">
        <v>6</v>
      </c>
      <c r="AF324" s="19" t="s">
        <v>7</v>
      </c>
      <c r="AG324" s="19" t="s">
        <v>8</v>
      </c>
      <c r="AH324" s="19" t="s">
        <v>9</v>
      </c>
      <c r="AI324" s="19" t="s">
        <v>0</v>
      </c>
      <c r="AJ324" s="2"/>
      <c r="AW324" s="7"/>
    </row>
    <row r="325" spans="1:49" x14ac:dyDescent="0.25">
      <c r="A325" s="1"/>
      <c r="B325" s="2" t="str">
        <f t="shared" si="257"/>
        <v/>
      </c>
      <c r="D325" s="61">
        <f t="shared" si="259"/>
        <v>17</v>
      </c>
      <c r="F325" s="9" t="s">
        <v>87</v>
      </c>
      <c r="G325" s="10"/>
      <c r="H325" s="10"/>
      <c r="I325" s="9" t="s">
        <v>85</v>
      </c>
      <c r="J325" s="6"/>
      <c r="K325" s="61">
        <f t="shared" si="260"/>
        <v>7</v>
      </c>
      <c r="M325" s="2" t="str">
        <f t="shared" si="258"/>
        <v/>
      </c>
      <c r="O325" s="2" t="str">
        <f t="shared" ref="O325:O375" si="263">IF(B325="","",IF(B325=1,"N",IF(B325=0,"P",IF(B325=3,"G"))))</f>
        <v/>
      </c>
      <c r="P325" s="2" t="str">
        <f t="shared" ref="P325:P375" si="264">IF(M325="","",IF(M325=1,"N",IF(M325=0,"P",IF(M325=3,"G"))))</f>
        <v/>
      </c>
      <c r="S325" s="2" t="str">
        <f t="shared" si="261"/>
        <v/>
      </c>
      <c r="T325" s="2" t="str">
        <f t="shared" si="262"/>
        <v/>
      </c>
      <c r="V325" s="2" t="str">
        <f>CONCATENATE(Z325)</f>
        <v>1. FC Köln</v>
      </c>
      <c r="W325" s="2">
        <f t="shared" ref="W325:W342" si="265">Y325</f>
        <v>15</v>
      </c>
      <c r="Y325" s="19">
        <f>RANK(AI325,$AI$325:$AI$342,0)+COUNTIF($AI$324:AI324,AI325)</f>
        <v>15</v>
      </c>
      <c r="Z325" s="19" t="str">
        <f t="shared" ref="Z325:Z342" si="266">CONCATENATE(Z5)</f>
        <v>1. FC Köln</v>
      </c>
      <c r="AA325" s="19">
        <f>COUNTIFS(F4:F177,Z325,G4:G177,"&gt;=0")+COUNTIFS(I4:I177,Z325,H4:H177,"&gt;=0")</f>
        <v>16</v>
      </c>
      <c r="AB325" s="19">
        <f>COUNTIFS(F4:F177,Z325,B4:B177,3)+COUNTIFS(I4:I177,Z325,M4:M177,3)</f>
        <v>4</v>
      </c>
      <c r="AC325" s="19">
        <f>COUNTIFS(F4:F177,Z325,B4:B177,1)+COUNTIFS(I4:I177,Z325,M4:M177,1)</f>
        <v>2</v>
      </c>
      <c r="AD325" s="19">
        <f>COUNTIFS(F4:F177,Z325,B4:B177,0)+COUNTIFS(I4:I177,Z325,M4:M177,0)</f>
        <v>10</v>
      </c>
      <c r="AE325" s="19">
        <f>SUMIF(F4:F177,Z325,G4:G177)+SUMIF(I4:I177,Z325,H4:H177)</f>
        <v>18</v>
      </c>
      <c r="AF325" s="19">
        <f>SUMIF(F4:F177,Z325,H4:H177)+SUMIF(I4:I177,Z325,G4:G177)</f>
        <v>32</v>
      </c>
      <c r="AG325" s="19">
        <f>+AE325-AF325</f>
        <v>-14</v>
      </c>
      <c r="AH325" s="19">
        <f>(AB325*3)+AC325</f>
        <v>14</v>
      </c>
      <c r="AI325" s="19">
        <f>SUM(AH325*1000+(AG325)/100+(AE325)/1000)</f>
        <v>13999.878000000001</v>
      </c>
      <c r="AJ325" s="2"/>
      <c r="AW325" s="7"/>
    </row>
    <row r="326" spans="1:49" x14ac:dyDescent="0.25">
      <c r="A326" s="1"/>
      <c r="B326" s="2" t="str">
        <f t="shared" si="257"/>
        <v/>
      </c>
      <c r="D326" s="61">
        <f t="shared" si="259"/>
        <v>16</v>
      </c>
      <c r="F326" s="9" t="s">
        <v>89</v>
      </c>
      <c r="G326" s="10"/>
      <c r="H326" s="10"/>
      <c r="I326" s="9" t="s">
        <v>86</v>
      </c>
      <c r="J326" s="6"/>
      <c r="K326" s="61">
        <f t="shared" si="260"/>
        <v>8</v>
      </c>
      <c r="M326" s="2" t="str">
        <f t="shared" si="258"/>
        <v/>
      </c>
      <c r="O326" s="2" t="str">
        <f t="shared" si="263"/>
        <v/>
      </c>
      <c r="P326" s="2" t="str">
        <f t="shared" si="264"/>
        <v/>
      </c>
      <c r="S326" s="2" t="str">
        <f t="shared" si="261"/>
        <v/>
      </c>
      <c r="T326" s="2" t="str">
        <f t="shared" si="262"/>
        <v/>
      </c>
      <c r="V326" s="2" t="str">
        <f t="shared" ref="V326:V342" si="267">CONCATENATE(Z326)</f>
        <v>1. FC Union Berlin</v>
      </c>
      <c r="W326" s="2">
        <f t="shared" si="265"/>
        <v>11</v>
      </c>
      <c r="Y326" s="19">
        <f>RANK(AI326,$AI$325:$AI$342,0)+COUNTIF($AI$324:AI325,AI326)</f>
        <v>11</v>
      </c>
      <c r="Z326" s="19" t="str">
        <f t="shared" si="266"/>
        <v>1. FC Union Berlin</v>
      </c>
      <c r="AA326" s="19">
        <f>COUNTIFS(F4:F177,Z326,G4:G177,"&gt;=0")+COUNTIFS(I4:I177,Z326,H4:H177,"&gt;=0")</f>
        <v>16</v>
      </c>
      <c r="AB326" s="19">
        <f>COUNTIFS(F4:F177,Z326,B4:B177,3)+COUNTIFS(I4:I177,Z326,M4:M177,3)</f>
        <v>6</v>
      </c>
      <c r="AC326" s="19">
        <f>COUNTIFS(F4:F177,Z326,B4:B177,1)+COUNTIFS(I4:I177,Z326,M4:M177,1)</f>
        <v>2</v>
      </c>
      <c r="AD326" s="19">
        <f>COUNTIFS(F4:F177,Z326,B4:B177,0)+COUNTIFS(I4:I177,Z326,M4:M177,0)</f>
        <v>8</v>
      </c>
      <c r="AE326" s="19">
        <f>SUMIF(F4:F177,Z326,G4:G177)+SUMIF(I4:I177,Z326,H4:H177)</f>
        <v>19</v>
      </c>
      <c r="AF326" s="19">
        <f>SUMIF(F4:F177,Z326,H4:H177)+SUMIF(I4:I177,Z326,G4:G177)</f>
        <v>22</v>
      </c>
      <c r="AG326" s="19">
        <f>+AE326-AF326</f>
        <v>-3</v>
      </c>
      <c r="AH326" s="19">
        <f>(AB326*3)+AC326</f>
        <v>20</v>
      </c>
      <c r="AI326" s="19">
        <f t="shared" ref="AI326:AI342" si="268">SUM(AH326*1000+(AG326)/100+(AE326)/1000)</f>
        <v>19999.989000000001</v>
      </c>
      <c r="AJ326" s="2"/>
      <c r="AW326" s="7"/>
    </row>
    <row r="327" spans="1:49" x14ac:dyDescent="0.25">
      <c r="A327" s="1"/>
      <c r="B327" s="2" t="str">
        <f t="shared" si="257"/>
        <v/>
      </c>
      <c r="D327" s="61">
        <f t="shared" si="259"/>
        <v>3</v>
      </c>
      <c r="F327" s="9" t="s">
        <v>80</v>
      </c>
      <c r="G327" s="10"/>
      <c r="H327" s="10"/>
      <c r="I327" s="9" t="s">
        <v>88</v>
      </c>
      <c r="J327" s="6"/>
      <c r="K327" s="61">
        <f t="shared" si="260"/>
        <v>14</v>
      </c>
      <c r="M327" s="2" t="str">
        <f t="shared" si="258"/>
        <v/>
      </c>
      <c r="O327" s="2" t="str">
        <f t="shared" si="263"/>
        <v/>
      </c>
      <c r="P327" s="2" t="str">
        <f t="shared" si="264"/>
        <v/>
      </c>
      <c r="S327" s="2" t="str">
        <f t="shared" si="261"/>
        <v/>
      </c>
      <c r="T327" s="2" t="str">
        <f t="shared" si="262"/>
        <v/>
      </c>
      <c r="V327" s="2" t="str">
        <f t="shared" si="267"/>
        <v>1. FSV Mainz 05</v>
      </c>
      <c r="W327" s="2">
        <f t="shared" si="265"/>
        <v>14</v>
      </c>
      <c r="Y327" s="19">
        <f>RANK(AI327,$AI$325:$AI$342,0)+COUNTIF($AI$324:AI326,AI327)</f>
        <v>14</v>
      </c>
      <c r="Z327" s="19" t="str">
        <f t="shared" si="266"/>
        <v>1. FSV Mainz 05</v>
      </c>
      <c r="AA327" s="19">
        <f>COUNTIFS(F4:F177,Z327,G4:G177,"&gt;=0")+COUNTIFS(I4:I177,Z327,H4:H177,"&gt;=0")</f>
        <v>16</v>
      </c>
      <c r="AB327" s="19">
        <f>COUNTIFS(F4:F177,Z327,B4:B177,3)+COUNTIFS(I4:I177,Z327,M4:M177,3)</f>
        <v>6</v>
      </c>
      <c r="AC327" s="19">
        <f>COUNTIFS(F4:F177,Z327,B4:B177,1)+COUNTIFS(I4:I177,Z327,M4:M177,1)</f>
        <v>0</v>
      </c>
      <c r="AD327" s="19">
        <f>COUNTIFS(F4:F177,Z327,B4:B177,0)+COUNTIFS(I4:I177,Z327,M4:M177,0)</f>
        <v>10</v>
      </c>
      <c r="AE327" s="19">
        <f>SUMIF(F4:F177,Z327,G4:G177)+SUMIF(I4:I177,Z327,H4:H177)</f>
        <v>25</v>
      </c>
      <c r="AF327" s="19">
        <f>SUMIF(F4:F177,Z327,H4:H177)+SUMIF(I4:I177,Z327,G4:G177)</f>
        <v>38</v>
      </c>
      <c r="AG327" s="19">
        <f>+AE327-AF327</f>
        <v>-13</v>
      </c>
      <c r="AH327" s="19">
        <f>(AB327*3)+AC327</f>
        <v>18</v>
      </c>
      <c r="AI327" s="19">
        <f t="shared" si="268"/>
        <v>17999.895</v>
      </c>
      <c r="AJ327" s="2"/>
      <c r="AW327" s="7"/>
    </row>
    <row r="328" spans="1:49" x14ac:dyDescent="0.25">
      <c r="A328" s="1"/>
      <c r="B328" s="2" t="str">
        <f t="shared" si="257"/>
        <v/>
      </c>
      <c r="D328" s="61">
        <f t="shared" si="259"/>
        <v>12</v>
      </c>
      <c r="F328" s="9" t="s">
        <v>84</v>
      </c>
      <c r="G328" s="10"/>
      <c r="H328" s="10"/>
      <c r="I328" s="9" t="s">
        <v>90</v>
      </c>
      <c r="J328" s="6"/>
      <c r="K328" s="61">
        <f t="shared" si="260"/>
        <v>15</v>
      </c>
      <c r="M328" s="2" t="str">
        <f t="shared" si="258"/>
        <v/>
      </c>
      <c r="O328" s="2" t="str">
        <f t="shared" si="263"/>
        <v/>
      </c>
      <c r="P328" s="2" t="str">
        <f t="shared" si="264"/>
        <v/>
      </c>
      <c r="S328" s="2" t="str">
        <f t="shared" si="261"/>
        <v/>
      </c>
      <c r="T328" s="2" t="str">
        <f t="shared" si="262"/>
        <v/>
      </c>
      <c r="V328" s="2" t="str">
        <f t="shared" si="267"/>
        <v>1899 Hoffenheim</v>
      </c>
      <c r="W328" s="2">
        <f t="shared" si="265"/>
        <v>9</v>
      </c>
      <c r="Y328" s="19">
        <f>RANK(AI328,$AI$325:$AI$342,0)+COUNTIF($AI$324:AI327,AI328)</f>
        <v>9</v>
      </c>
      <c r="Z328" s="19" t="str">
        <f t="shared" si="266"/>
        <v>1899 Hoffenheim</v>
      </c>
      <c r="AA328" s="19">
        <f>COUNTIFS(F4:F177,Z328,G4:G177,"&gt;=0")+COUNTIFS(I4:I177,Z328,H4:H177,"&gt;=0")</f>
        <v>16</v>
      </c>
      <c r="AB328" s="19">
        <f>COUNTIFS(F4:F177,Z328,B4:B177,3)+COUNTIFS(I4:I177,Z328,M4:M177,3)</f>
        <v>7</v>
      </c>
      <c r="AC328" s="19">
        <f>COUNTIFS(F4:F177,Z328,B4:B177,1)+COUNTIFS(I4:I177,Z328,M4:M177,1)</f>
        <v>3</v>
      </c>
      <c r="AD328" s="19">
        <f>COUNTIFS(F4:F177,Z328,B4:B177,0)+COUNTIFS(I4:I177,Z328,M4:M177,0)</f>
        <v>6</v>
      </c>
      <c r="AE328" s="19">
        <f>SUMIF(F4:F177,Z328,G4:G177)+SUMIF(I4:I177,Z328,H4:H177)</f>
        <v>23</v>
      </c>
      <c r="AF328" s="19">
        <f>SUMIF(F4:F177,Z328,H4:H177)+SUMIF(I4:I177,Z328,G4:G177)</f>
        <v>27</v>
      </c>
      <c r="AG328" s="19">
        <f t="shared" ref="AG328:AG342" si="269">+AE328-AF328</f>
        <v>-4</v>
      </c>
      <c r="AH328" s="19">
        <f>(AB328*3)+AC328</f>
        <v>24</v>
      </c>
      <c r="AI328" s="19">
        <f t="shared" si="268"/>
        <v>23999.983</v>
      </c>
      <c r="AJ328" s="2"/>
      <c r="AW328" s="7"/>
    </row>
    <row r="329" spans="1:49" x14ac:dyDescent="0.25">
      <c r="A329" s="1"/>
      <c r="B329" s="2" t="str">
        <f t="shared" si="257"/>
        <v/>
      </c>
      <c r="D329" s="61">
        <f t="shared" si="259"/>
        <v>10</v>
      </c>
      <c r="F329" s="9" t="s">
        <v>162</v>
      </c>
      <c r="G329" s="10"/>
      <c r="H329" s="10"/>
      <c r="I329" s="9" t="s">
        <v>93</v>
      </c>
      <c r="J329" s="6"/>
      <c r="K329" s="61">
        <f t="shared" si="260"/>
        <v>6</v>
      </c>
      <c r="M329" s="2" t="str">
        <f t="shared" si="258"/>
        <v/>
      </c>
      <c r="O329" s="2" t="str">
        <f t="shared" si="263"/>
        <v/>
      </c>
      <c r="P329" s="2" t="str">
        <f t="shared" si="264"/>
        <v/>
      </c>
      <c r="S329" s="2" t="str">
        <f t="shared" si="261"/>
        <v/>
      </c>
      <c r="T329" s="2" t="str">
        <f t="shared" si="262"/>
        <v/>
      </c>
      <c r="V329" s="2" t="str">
        <f t="shared" si="267"/>
        <v>Bayer Leverkusen</v>
      </c>
      <c r="W329" s="2">
        <f t="shared" si="265"/>
        <v>7</v>
      </c>
      <c r="Y329" s="19">
        <f>RANK(AI329,$AI$325:$AI$342,0)+COUNTIF($AI$324:AI328,AI329)</f>
        <v>7</v>
      </c>
      <c r="Z329" s="19" t="str">
        <f t="shared" si="266"/>
        <v>Bayer Leverkusen</v>
      </c>
      <c r="AA329" s="19">
        <f>COUNTIFS(F4:F177,Z329,G4:G177,"&gt;=0")+COUNTIFS(I4:I177,Z329,H4:H177,"&gt;=0")</f>
        <v>16</v>
      </c>
      <c r="AB329" s="19">
        <f>COUNTIFS(F4:F177,Z329,B4:B177,3)+COUNTIFS(I4:I177,Z329,M4:M177,3)</f>
        <v>7</v>
      </c>
      <c r="AC329" s="19">
        <f>COUNTIFS(F4:F177,Z329,B4:B177,1)+COUNTIFS(I4:I177,Z329,M4:M177,1)</f>
        <v>4</v>
      </c>
      <c r="AD329" s="19">
        <f>COUNTIFS(F4:F177,Z329,B4:B177,0)+COUNTIFS(I4:I177,Z329,M4:M177,0)</f>
        <v>5</v>
      </c>
      <c r="AE329" s="19">
        <f>SUMIF(F4:F177,Z329,G4:G177)+SUMIF(I4:I177,Z329,H4:H177)</f>
        <v>22</v>
      </c>
      <c r="AF329" s="19">
        <f>SUMIF(F4:F177,Z329,H4:H177)+SUMIF(I4:I177,Z329,G4:G177)</f>
        <v>21</v>
      </c>
      <c r="AG329" s="19">
        <f t="shared" si="269"/>
        <v>1</v>
      </c>
      <c r="AH329" s="19">
        <f>(AB329*3)+AC329</f>
        <v>25</v>
      </c>
      <c r="AI329" s="19">
        <f t="shared" si="268"/>
        <v>25000.031999999999</v>
      </c>
      <c r="AJ329" s="2"/>
      <c r="AW329" s="7"/>
    </row>
    <row r="330" spans="1:49" x14ac:dyDescent="0.25">
      <c r="A330" s="1"/>
      <c r="B330" s="2" t="str">
        <f t="shared" si="257"/>
        <v/>
      </c>
      <c r="D330" s="61">
        <f t="shared" si="259"/>
        <v>13</v>
      </c>
      <c r="F330" s="9" t="s">
        <v>92</v>
      </c>
      <c r="G330" s="10"/>
      <c r="H330" s="10"/>
      <c r="I330" s="9" t="s">
        <v>161</v>
      </c>
      <c r="J330" s="6"/>
      <c r="K330" s="61">
        <f t="shared" si="260"/>
        <v>11</v>
      </c>
      <c r="M330" s="2" t="str">
        <f t="shared" si="258"/>
        <v/>
      </c>
      <c r="O330" s="2" t="str">
        <f t="shared" si="263"/>
        <v/>
      </c>
      <c r="P330" s="2" t="str">
        <f t="shared" si="264"/>
        <v/>
      </c>
      <c r="S330" s="2" t="str">
        <f t="shared" si="261"/>
        <v/>
      </c>
      <c r="T330" s="2" t="str">
        <f t="shared" si="262"/>
        <v/>
      </c>
      <c r="V330" s="2" t="str">
        <f t="shared" si="267"/>
        <v>Bayern München</v>
      </c>
      <c r="W330" s="2">
        <f t="shared" si="265"/>
        <v>3</v>
      </c>
      <c r="Y330" s="19">
        <f>RANK(AI330,$AI$325:$AI$342,0)+COUNTIF($AI$324:AI329,AI330)</f>
        <v>3</v>
      </c>
      <c r="Z330" s="19" t="str">
        <f t="shared" si="266"/>
        <v>Bayern München</v>
      </c>
      <c r="AA330" s="19">
        <f>COUNTIFS(F4:F177,Z330,G4:G177,"&gt;=0")+COUNTIFS(I4:I177,Z330,H4:H177,"&gt;=0")</f>
        <v>16</v>
      </c>
      <c r="AB330" s="19">
        <f>COUNTIFS(F4:F177,Z330,B4:B177,3)+COUNTIFS(I4:I177,Z330,M4:M177,3)</f>
        <v>9</v>
      </c>
      <c r="AC330" s="19">
        <f>COUNTIFS(F4:F177,Z330,B4:B177,1)+COUNTIFS(I4:I177,Z330,M4:M177,1)</f>
        <v>3</v>
      </c>
      <c r="AD330" s="19">
        <f>COUNTIFS(F4:F177,Z330,B4:B177,0)+COUNTIFS(I4:I177,Z330,M4:M177,0)</f>
        <v>4</v>
      </c>
      <c r="AE330" s="19">
        <f>SUMIF(F4:F177,Z330,G4:G177)+SUMIF(I4:I177,Z330,H4:H177)</f>
        <v>44</v>
      </c>
      <c r="AF330" s="19">
        <f>SUMIF(F4:F177,Z330,H4:H177)+SUMIF(I4:I177,Z330,G4:G177)</f>
        <v>22</v>
      </c>
      <c r="AG330" s="19">
        <f t="shared" si="269"/>
        <v>22</v>
      </c>
      <c r="AH330" s="19">
        <f t="shared" ref="AH330:AH342" si="270">(AB330*3)+AC330</f>
        <v>30</v>
      </c>
      <c r="AI330" s="19">
        <f t="shared" si="268"/>
        <v>30000.264000000003</v>
      </c>
      <c r="AJ330" s="2"/>
      <c r="AW330" s="7"/>
    </row>
    <row r="331" spans="1:49" x14ac:dyDescent="0.25">
      <c r="A331" s="1"/>
      <c r="B331" s="2" t="str">
        <f t="shared" si="257"/>
        <v/>
      </c>
      <c r="D331" s="61">
        <f t="shared" si="259"/>
        <v>2</v>
      </c>
      <c r="F331" s="9" t="s">
        <v>81</v>
      </c>
      <c r="G331" s="10"/>
      <c r="H331" s="10"/>
      <c r="I331" s="9" t="s">
        <v>148</v>
      </c>
      <c r="J331" s="6"/>
      <c r="K331" s="61">
        <f t="shared" si="260"/>
        <v>18</v>
      </c>
      <c r="M331" s="2" t="str">
        <f t="shared" si="258"/>
        <v/>
      </c>
      <c r="O331" s="2" t="str">
        <f t="shared" si="263"/>
        <v/>
      </c>
      <c r="P331" s="2" t="str">
        <f t="shared" si="264"/>
        <v/>
      </c>
      <c r="S331" s="2" t="str">
        <f t="shared" si="261"/>
        <v/>
      </c>
      <c r="T331" s="2" t="str">
        <f t="shared" si="262"/>
        <v/>
      </c>
      <c r="V331" s="2" t="str">
        <f t="shared" si="267"/>
        <v>Bor. Mönchengladbach</v>
      </c>
      <c r="W331" s="2">
        <f t="shared" si="265"/>
        <v>2</v>
      </c>
      <c r="Y331" s="19">
        <f>RANK(AI331,$AI$325:$AI$342,0)+COUNTIF($AI$324:AI330,AI331)</f>
        <v>2</v>
      </c>
      <c r="Z331" s="19" t="str">
        <f t="shared" si="266"/>
        <v>Bor. Mönchengladbach</v>
      </c>
      <c r="AA331" s="19">
        <f>COUNTIFS(F4:F177,Z331,G4:G177,"&gt;=0")+COUNTIFS(I4:I177,Z331,H4:H177,"&gt;=0")</f>
        <v>16</v>
      </c>
      <c r="AB331" s="19">
        <f>COUNTIFS(F4:F177,Z331,B4:B177,3)+COUNTIFS(I4:I177,Z331,M4:M177,3)</f>
        <v>11</v>
      </c>
      <c r="AC331" s="19">
        <f>COUNTIFS(F4:F177,Z331,B4:B177,1)+COUNTIFS(I4:I177,Z331,M4:M177,1)</f>
        <v>1</v>
      </c>
      <c r="AD331" s="19">
        <f>COUNTIFS(F4:F177,Z331,B4:B177,0)+COUNTIFS(I4:I177,Z331,M4:M177,0)</f>
        <v>4</v>
      </c>
      <c r="AE331" s="19">
        <f>SUMIF(F4:F177,Z331,G4:G177)+SUMIF(I4:I177,Z331,H4:H177)</f>
        <v>33</v>
      </c>
      <c r="AF331" s="19">
        <f>SUMIF(F4:F177,Z331,H4:H177)+SUMIF(I4:I177,Z331,G4:G177)</f>
        <v>18</v>
      </c>
      <c r="AG331" s="19">
        <f t="shared" si="269"/>
        <v>15</v>
      </c>
      <c r="AH331" s="19">
        <f t="shared" si="270"/>
        <v>34</v>
      </c>
      <c r="AI331" s="19">
        <f t="shared" si="268"/>
        <v>34000.183000000005</v>
      </c>
      <c r="AJ331" s="2"/>
      <c r="AW331" s="7"/>
    </row>
    <row r="332" spans="1:49" x14ac:dyDescent="0.25">
      <c r="A332" s="1"/>
      <c r="F332" s="107"/>
      <c r="G332" s="108"/>
      <c r="H332" s="108"/>
      <c r="I332" s="107"/>
      <c r="J332" s="6"/>
      <c r="O332" s="2" t="str">
        <f t="shared" si="263"/>
        <v/>
      </c>
      <c r="P332" s="2" t="str">
        <f t="shared" si="264"/>
        <v/>
      </c>
      <c r="V332" s="2" t="str">
        <f t="shared" si="267"/>
        <v>Borussia Dortmund</v>
      </c>
      <c r="W332" s="2">
        <f t="shared" si="265"/>
        <v>4</v>
      </c>
      <c r="Y332" s="19">
        <f>RANK(AI332,$AI$325:$AI$342,0)+COUNTIF($AI$324:AI331,AI332)</f>
        <v>4</v>
      </c>
      <c r="Z332" s="19" t="str">
        <f t="shared" si="266"/>
        <v>Borussia Dortmund</v>
      </c>
      <c r="AA332" s="19">
        <f>COUNTIFS(F4:F177,Z332,G4:G177,"&gt;=0")+COUNTIFS(I4:I177,Z332,H4:H177,"&gt;=0")</f>
        <v>16</v>
      </c>
      <c r="AB332" s="19">
        <f>COUNTIFS(F4:F177,Z332,B4:B177,3)+COUNTIFS(I4:I177,Z332,M4:M177,3)</f>
        <v>8</v>
      </c>
      <c r="AC332" s="19">
        <f>COUNTIFS(F4:F177,Z332,B4:B177,1)+COUNTIFS(I4:I177,Z332,M4:M177,1)</f>
        <v>6</v>
      </c>
      <c r="AD332" s="19">
        <f>COUNTIFS(F4:F177,Z332,B4:B177,0)+COUNTIFS(I4:I177,Z332,M4:M177,0)</f>
        <v>2</v>
      </c>
      <c r="AE332" s="19">
        <f>SUMIF(F4:F177,Z332,G4:G177)+SUMIF(I4:I177,Z332,H4:H177)</f>
        <v>40</v>
      </c>
      <c r="AF332" s="19">
        <f>SUMIF(F4:F177,Z332,H4:H177)+SUMIF(I4:I177,Z332,G4:G177)</f>
        <v>22</v>
      </c>
      <c r="AG332" s="19">
        <f t="shared" si="269"/>
        <v>18</v>
      </c>
      <c r="AH332" s="19">
        <f t="shared" si="270"/>
        <v>30</v>
      </c>
      <c r="AI332" s="19">
        <f t="shared" si="268"/>
        <v>30000.22</v>
      </c>
      <c r="AJ332" s="2"/>
      <c r="AW332" s="7"/>
    </row>
    <row r="333" spans="1:49" x14ac:dyDescent="0.25">
      <c r="A333" s="1"/>
      <c r="B333" s="2" t="str">
        <f t="shared" si="257"/>
        <v/>
      </c>
      <c r="F333" s="154" t="s">
        <v>70</v>
      </c>
      <c r="G333" s="154"/>
      <c r="H333" s="154"/>
      <c r="I333" s="154"/>
      <c r="J333" s="6"/>
      <c r="M333" s="2" t="str">
        <f t="shared" ref="M333:M342" si="271">IF(H333="","",IF(H333&gt;G333,3,IF(H333=G333,1,0)))</f>
        <v/>
      </c>
      <c r="O333" s="2" t="str">
        <f t="shared" si="263"/>
        <v/>
      </c>
      <c r="P333" s="2" t="str">
        <f t="shared" si="264"/>
        <v/>
      </c>
      <c r="V333" s="2" t="str">
        <f t="shared" si="267"/>
        <v>Eintracht Frankfurt</v>
      </c>
      <c r="W333" s="2">
        <f t="shared" si="265"/>
        <v>12</v>
      </c>
      <c r="Y333" s="19">
        <f>RANK(AI333,$AI$325:$AI$342,0)+COUNTIF($AI$324:AI332,AI333)</f>
        <v>12</v>
      </c>
      <c r="Z333" s="19" t="str">
        <f t="shared" si="266"/>
        <v>Eintracht Frankfurt</v>
      </c>
      <c r="AA333" s="19">
        <f>COUNTIFS(F4:F177,Z333,G4:G177,"&gt;=0")+COUNTIFS(I4:I177,Z333,H4:H177,"&gt;=0")</f>
        <v>16</v>
      </c>
      <c r="AB333" s="19">
        <f>COUNTIFS(F4:F177,Z333,B4:B177,3)+COUNTIFS(I4:I177,Z333,M4:M177,3)</f>
        <v>5</v>
      </c>
      <c r="AC333" s="19">
        <f>COUNTIFS(F4:F177,Z333,B4:B177,1)+COUNTIFS(I4:I177,Z333,M4:M177,1)</f>
        <v>3</v>
      </c>
      <c r="AD333" s="19">
        <f>COUNTIFS(F4:F177,Z333,B4:B177,0)+COUNTIFS(I4:I177,Z333,M4:M177,0)</f>
        <v>8</v>
      </c>
      <c r="AE333" s="19">
        <f>SUMIF(F4:F177,Z333,G4:G177)+SUMIF(I4:I177,Z333,H4:H177)</f>
        <v>26</v>
      </c>
      <c r="AF333" s="19">
        <f>SUMIF(F4:F177,Z333,H4:H177)+SUMIF(I4:I177,Z333,G4:G177)</f>
        <v>27</v>
      </c>
      <c r="AG333" s="19">
        <f t="shared" si="269"/>
        <v>-1</v>
      </c>
      <c r="AH333" s="19">
        <f t="shared" si="270"/>
        <v>18</v>
      </c>
      <c r="AI333" s="19">
        <f t="shared" si="268"/>
        <v>18000.016000000003</v>
      </c>
      <c r="AW333" s="7"/>
    </row>
    <row r="334" spans="1:49" x14ac:dyDescent="0.25">
      <c r="A334" s="1"/>
      <c r="B334" s="2" t="str">
        <f t="shared" si="257"/>
        <v/>
      </c>
      <c r="D334" s="61">
        <f t="shared" ref="D334:D342" si="272">IFERROR(VLOOKUP(F334,$V$605:$W$622,2,FALSE),"")</f>
        <v>16</v>
      </c>
      <c r="F334" s="9" t="s">
        <v>89</v>
      </c>
      <c r="G334" s="10"/>
      <c r="H334" s="10"/>
      <c r="I334" s="9" t="s">
        <v>80</v>
      </c>
      <c r="J334" s="6"/>
      <c r="K334" s="61">
        <f t="shared" ref="K334:K342" si="273">IFERROR(VLOOKUP(I334,$V$605:$W$622,2,FALSE),"")</f>
        <v>3</v>
      </c>
      <c r="M334" s="2" t="str">
        <f t="shared" si="271"/>
        <v/>
      </c>
      <c r="O334" s="2" t="str">
        <f t="shared" si="263"/>
        <v/>
      </c>
      <c r="P334" s="2" t="str">
        <f t="shared" si="264"/>
        <v/>
      </c>
      <c r="S334" s="2" t="str">
        <f t="shared" ref="S334:S342" si="274">IF(M334&lt;&gt;"",F334&amp;I334,"")</f>
        <v/>
      </c>
      <c r="T334" s="2" t="str">
        <f t="shared" ref="T334:T342" si="275">IF(S334&lt;&gt;"",G334&amp;"-"&amp;H334,"")</f>
        <v/>
      </c>
      <c r="V334" s="2" t="str">
        <f t="shared" si="267"/>
        <v>FC Augsburg</v>
      </c>
      <c r="W334" s="2">
        <f t="shared" si="265"/>
        <v>10</v>
      </c>
      <c r="Y334" s="19">
        <f>RANK(AI334,$AI$325:$AI$342,0)+COUNTIF($AI$324:AI333,AI334)</f>
        <v>10</v>
      </c>
      <c r="Z334" s="19" t="str">
        <f t="shared" si="266"/>
        <v>FC Augsburg</v>
      </c>
      <c r="AA334" s="19">
        <f>COUNTIFS(F4:F177,Z334,G4:G177,"&gt;=0")+COUNTIFS(I4:I177,Z334,H4:H177,"&gt;=0")</f>
        <v>16</v>
      </c>
      <c r="AB334" s="19">
        <f>COUNTIFS(F4:F177,Z334,B4:B177,3)+COUNTIFS(I4:I177,Z334,M4:M177,3)</f>
        <v>6</v>
      </c>
      <c r="AC334" s="19">
        <f>COUNTIFS(F4:F177,Z334,B4:B177,1)+COUNTIFS(I4:I177,Z334,M4:M177,1)</f>
        <v>5</v>
      </c>
      <c r="AD334" s="19">
        <f>COUNTIFS(F4:F177,Z334,B4:B177,0)+COUNTIFS(I4:I177,Z334,M4:M177,0)</f>
        <v>5</v>
      </c>
      <c r="AE334" s="19">
        <f>SUMIF(F4:F177,Z334,G4:G177)+SUMIF(I4:I177,Z334,H4:H177)</f>
        <v>27</v>
      </c>
      <c r="AF334" s="19">
        <f>SUMIF(F4:F177,Z334,H4:H177)+SUMIF(I4:I177,Z334,G4:G177)</f>
        <v>28</v>
      </c>
      <c r="AG334" s="19">
        <f t="shared" si="269"/>
        <v>-1</v>
      </c>
      <c r="AH334" s="19">
        <f t="shared" si="270"/>
        <v>23</v>
      </c>
      <c r="AI334" s="19">
        <f t="shared" si="268"/>
        <v>23000.017</v>
      </c>
      <c r="AJ334" s="2"/>
      <c r="AW334" s="7"/>
    </row>
    <row r="335" spans="1:49" x14ac:dyDescent="0.25">
      <c r="A335" s="1"/>
      <c r="B335" s="2" t="str">
        <f t="shared" si="257"/>
        <v/>
      </c>
      <c r="D335" s="61">
        <f t="shared" si="272"/>
        <v>8</v>
      </c>
      <c r="F335" s="9" t="s">
        <v>86</v>
      </c>
      <c r="G335" s="10"/>
      <c r="H335" s="10"/>
      <c r="I335" s="9" t="s">
        <v>81</v>
      </c>
      <c r="J335" s="6"/>
      <c r="K335" s="61">
        <f t="shared" si="273"/>
        <v>2</v>
      </c>
      <c r="M335" s="2" t="str">
        <f t="shared" si="271"/>
        <v/>
      </c>
      <c r="O335" s="2" t="str">
        <f t="shared" si="263"/>
        <v/>
      </c>
      <c r="P335" s="2" t="str">
        <f t="shared" si="264"/>
        <v/>
      </c>
      <c r="S335" s="2" t="str">
        <f t="shared" si="274"/>
        <v/>
      </c>
      <c r="T335" s="2" t="str">
        <f t="shared" si="275"/>
        <v/>
      </c>
      <c r="V335" s="2" t="str">
        <f t="shared" si="267"/>
        <v>FC Schalke 04</v>
      </c>
      <c r="W335" s="2">
        <f t="shared" si="265"/>
        <v>5</v>
      </c>
      <c r="Y335" s="19">
        <f>RANK(AI335,$AI$325:$AI$342,0)+COUNTIF($AI$324:AI334,AI335)</f>
        <v>5</v>
      </c>
      <c r="Z335" s="19" t="str">
        <f t="shared" si="266"/>
        <v>FC Schalke 04</v>
      </c>
      <c r="AA335" s="19">
        <f>COUNTIFS(F4:F177,Z335,G4:G177,"&gt;=0")+COUNTIFS(I4:I177,Z335,H4:H177,"&gt;=0")</f>
        <v>16</v>
      </c>
      <c r="AB335" s="19">
        <f>COUNTIFS(F4:F177,Z335,B4:B177,3)+COUNTIFS(I4:I177,Z335,M4:M177,3)</f>
        <v>8</v>
      </c>
      <c r="AC335" s="19">
        <f>COUNTIFS(F4:F177,Z335,B4:B177,1)+COUNTIFS(I4:I177,Z335,M4:M177,1)</f>
        <v>5</v>
      </c>
      <c r="AD335" s="19">
        <f>COUNTIFS(F4:F177,Z335,B4:B177,0)+COUNTIFS(I4:I177,Z335,M4:M177,0)</f>
        <v>3</v>
      </c>
      <c r="AE335" s="19">
        <f>SUMIF(F4:F177,Z335,G4:G177)+SUMIF(I4:I177,Z335,H4:H177)</f>
        <v>27</v>
      </c>
      <c r="AF335" s="19">
        <f>SUMIF(F4:F177,Z335,H4:H177)+SUMIF(I4:I177,Z335,G4:G177)</f>
        <v>19</v>
      </c>
      <c r="AG335" s="19">
        <f t="shared" si="269"/>
        <v>8</v>
      </c>
      <c r="AH335" s="19">
        <f t="shared" si="270"/>
        <v>29</v>
      </c>
      <c r="AI335" s="19">
        <f t="shared" si="268"/>
        <v>29000.107</v>
      </c>
      <c r="AJ335" s="2"/>
      <c r="AW335" s="7"/>
    </row>
    <row r="336" spans="1:49" x14ac:dyDescent="0.25">
      <c r="A336" s="1"/>
      <c r="B336" s="2" t="str">
        <f t="shared" si="257"/>
        <v/>
      </c>
      <c r="D336" s="61">
        <f t="shared" si="272"/>
        <v>6</v>
      </c>
      <c r="F336" s="9" t="s">
        <v>93</v>
      </c>
      <c r="G336" s="10"/>
      <c r="H336" s="10"/>
      <c r="I336" s="9" t="s">
        <v>83</v>
      </c>
      <c r="J336" s="6"/>
      <c r="K336" s="61">
        <f t="shared" si="273"/>
        <v>5</v>
      </c>
      <c r="M336" s="2" t="str">
        <f t="shared" si="271"/>
        <v/>
      </c>
      <c r="O336" s="2" t="str">
        <f t="shared" si="263"/>
        <v/>
      </c>
      <c r="P336" s="2" t="str">
        <f t="shared" si="264"/>
        <v/>
      </c>
      <c r="S336" s="2" t="str">
        <f t="shared" si="274"/>
        <v/>
      </c>
      <c r="T336" s="2" t="str">
        <f t="shared" si="275"/>
        <v/>
      </c>
      <c r="V336" s="2" t="str">
        <f t="shared" si="267"/>
        <v>Fortuna Düsseldorf</v>
      </c>
      <c r="W336" s="2">
        <f t="shared" si="265"/>
        <v>17</v>
      </c>
      <c r="Y336" s="19">
        <f>RANK(AI336,$AI$325:$AI$342,0)+COUNTIF($AI$324:AI335,AI336)</f>
        <v>17</v>
      </c>
      <c r="Z336" s="19" t="str">
        <f t="shared" si="266"/>
        <v>Fortuna Düsseldorf</v>
      </c>
      <c r="AA336" s="19">
        <f>COUNTIFS(F4:F177,Z336,G4:G177,"&gt;=0")+COUNTIFS(I4:I177,Z336,H4:H177,"&gt;=0")</f>
        <v>16</v>
      </c>
      <c r="AB336" s="19">
        <f>COUNTIFS(F4:F177,Z336,B4:B177,3)+COUNTIFS(I4:I177,Z336,M4:M177,3)</f>
        <v>3</v>
      </c>
      <c r="AC336" s="19">
        <f>COUNTIFS(F4:F177,Z336,B4:B177,1)+COUNTIFS(I4:I177,Z336,M4:M177,1)</f>
        <v>3</v>
      </c>
      <c r="AD336" s="19">
        <f>COUNTIFS(F4:F177,Z336,B4:B177,0)+COUNTIFS(I4:I177,Z336,M4:M177,0)</f>
        <v>10</v>
      </c>
      <c r="AE336" s="19">
        <f>SUMIF(F4:F177,Z336,G4:G177)+SUMIF(I4:I177,Z336,H4:H177)</f>
        <v>16</v>
      </c>
      <c r="AF336" s="19">
        <f>SUMIF(F4:F177,Z336,H4:H177)+SUMIF(I4:I177,Z336,G4:G177)</f>
        <v>35</v>
      </c>
      <c r="AG336" s="19">
        <f t="shared" si="269"/>
        <v>-19</v>
      </c>
      <c r="AH336" s="19">
        <f t="shared" si="270"/>
        <v>12</v>
      </c>
      <c r="AI336" s="19">
        <f t="shared" si="268"/>
        <v>11999.825999999999</v>
      </c>
      <c r="AJ336" s="2"/>
      <c r="AW336" s="7"/>
    </row>
    <row r="337" spans="1:49" x14ac:dyDescent="0.25">
      <c r="A337" s="1"/>
      <c r="B337" s="2" t="str">
        <f t="shared" si="257"/>
        <v/>
      </c>
      <c r="D337" s="61">
        <f t="shared" si="272"/>
        <v>1</v>
      </c>
      <c r="F337" s="9" t="s">
        <v>79</v>
      </c>
      <c r="G337" s="10"/>
      <c r="H337" s="10"/>
      <c r="I337" s="9" t="s">
        <v>82</v>
      </c>
      <c r="J337" s="6"/>
      <c r="K337" s="61">
        <f t="shared" si="273"/>
        <v>4</v>
      </c>
      <c r="M337" s="2" t="str">
        <f t="shared" si="271"/>
        <v/>
      </c>
      <c r="O337" s="2" t="str">
        <f t="shared" si="263"/>
        <v/>
      </c>
      <c r="P337" s="2" t="str">
        <f t="shared" si="264"/>
        <v/>
      </c>
      <c r="S337" s="2" t="str">
        <f t="shared" si="274"/>
        <v/>
      </c>
      <c r="T337" s="2" t="str">
        <f t="shared" si="275"/>
        <v/>
      </c>
      <c r="V337" s="2" t="str">
        <f t="shared" si="267"/>
        <v>Hertha BSC</v>
      </c>
      <c r="W337" s="2">
        <f t="shared" si="265"/>
        <v>13</v>
      </c>
      <c r="Y337" s="19">
        <f>RANK(AI337,$AI$325:$AI$342,0)+COUNTIF($AI$324:AI336,AI337)</f>
        <v>13</v>
      </c>
      <c r="Z337" s="19" t="str">
        <f t="shared" si="266"/>
        <v>Hertha BSC</v>
      </c>
      <c r="AA337" s="19">
        <f>COUNTIFS(F4:F177,Z337,G4:G177,"&gt;=0")+COUNTIFS(I4:I177,Z337,H4:H177,"&gt;=0")</f>
        <v>16</v>
      </c>
      <c r="AB337" s="19">
        <f>COUNTIFS(F4:F177,Z337,B4:B177,3)+COUNTIFS(I4:I177,Z337,M4:M177,3)</f>
        <v>5</v>
      </c>
      <c r="AC337" s="19">
        <f>COUNTIFS(F4:F177,Z337,B4:B177,1)+COUNTIFS(I4:I177,Z337,M4:M177,1)</f>
        <v>3</v>
      </c>
      <c r="AD337" s="19">
        <f>COUNTIFS(F4:F177,Z337,B4:B177,0)+COUNTIFS(I4:I177,Z337,M4:M177,0)</f>
        <v>8</v>
      </c>
      <c r="AE337" s="19">
        <f>SUMIF(F4:F177,Z337,G4:G177)+SUMIF(I4:I177,Z337,H4:H177)</f>
        <v>22</v>
      </c>
      <c r="AF337" s="19">
        <f>SUMIF(F4:F177,Z337,H4:H177)+SUMIF(I4:I177,Z337,G4:G177)</f>
        <v>29</v>
      </c>
      <c r="AG337" s="19">
        <f t="shared" si="269"/>
        <v>-7</v>
      </c>
      <c r="AH337" s="19">
        <f t="shared" si="270"/>
        <v>18</v>
      </c>
      <c r="AI337" s="19">
        <f t="shared" si="268"/>
        <v>17999.952000000001</v>
      </c>
      <c r="AJ337" s="2"/>
      <c r="AW337" s="7"/>
    </row>
    <row r="338" spans="1:49" x14ac:dyDescent="0.25">
      <c r="A338" s="1"/>
      <c r="B338" s="2" t="str">
        <f t="shared" si="257"/>
        <v/>
      </c>
      <c r="D338" s="61">
        <f t="shared" si="272"/>
        <v>14</v>
      </c>
      <c r="F338" s="9" t="s">
        <v>88</v>
      </c>
      <c r="G338" s="10"/>
      <c r="H338" s="10"/>
      <c r="I338" s="9" t="s">
        <v>84</v>
      </c>
      <c r="J338" s="6"/>
      <c r="K338" s="61">
        <f t="shared" si="273"/>
        <v>12</v>
      </c>
      <c r="M338" s="2" t="str">
        <f t="shared" si="271"/>
        <v/>
      </c>
      <c r="O338" s="2" t="str">
        <f t="shared" si="263"/>
        <v/>
      </c>
      <c r="P338" s="2" t="str">
        <f t="shared" si="264"/>
        <v/>
      </c>
      <c r="S338" s="2" t="str">
        <f t="shared" si="274"/>
        <v/>
      </c>
      <c r="T338" s="2" t="str">
        <f t="shared" si="275"/>
        <v/>
      </c>
      <c r="V338" s="2" t="str">
        <f t="shared" si="267"/>
        <v>RB Leipzig</v>
      </c>
      <c r="W338" s="2">
        <f t="shared" si="265"/>
        <v>1</v>
      </c>
      <c r="Y338" s="19">
        <f>RANK(AI338,$AI$325:$AI$342,0)+COUNTIF($AI$324:AI337,AI338)</f>
        <v>1</v>
      </c>
      <c r="Z338" s="19" t="str">
        <f t="shared" si="266"/>
        <v>RB Leipzig</v>
      </c>
      <c r="AA338" s="19">
        <f>COUNTIFS(F4:F177,Z338,G4:G177,"&gt;=0")+COUNTIFS(I4:I177,Z338,H4:H177,"&gt;=0")</f>
        <v>16</v>
      </c>
      <c r="AB338" s="19">
        <f>COUNTIFS(F4:F177,Z338,B4:B177,3)+COUNTIFS(I4:I177,Z338,M4:M177,3)</f>
        <v>10</v>
      </c>
      <c r="AC338" s="19">
        <f>COUNTIFS(F4:F177,Z338,B4:B177,1)+COUNTIFS(I4:I177,Z338,M4:M177,1)</f>
        <v>4</v>
      </c>
      <c r="AD338" s="19">
        <f>COUNTIFS(F4:F177,Z338,B4:B177,0)+COUNTIFS(I4:I177,Z338,M4:M177,0)</f>
        <v>2</v>
      </c>
      <c r="AE338" s="19">
        <f>SUMIF(F4:F177,Z338,G4:G177)+SUMIF(I4:I177,Z338,H4:H177)</f>
        <v>45</v>
      </c>
      <c r="AF338" s="19">
        <f>SUMIF(F4:F177,Z338,H4:H177)+SUMIF(I4:I177,Z338,G4:G177)</f>
        <v>19</v>
      </c>
      <c r="AG338" s="19">
        <f t="shared" si="269"/>
        <v>26</v>
      </c>
      <c r="AH338" s="19">
        <f t="shared" si="270"/>
        <v>34</v>
      </c>
      <c r="AI338" s="19">
        <f t="shared" si="268"/>
        <v>34000.305</v>
      </c>
      <c r="AJ338" s="2"/>
      <c r="AW338" s="7"/>
    </row>
    <row r="339" spans="1:49" x14ac:dyDescent="0.25">
      <c r="A339" s="1"/>
      <c r="B339" s="2" t="str">
        <f t="shared" si="257"/>
        <v/>
      </c>
      <c r="D339" s="61">
        <f t="shared" si="272"/>
        <v>18</v>
      </c>
      <c r="F339" s="9" t="s">
        <v>148</v>
      </c>
      <c r="G339" s="10"/>
      <c r="H339" s="10"/>
      <c r="I339" s="9" t="s">
        <v>87</v>
      </c>
      <c r="J339" s="6"/>
      <c r="K339" s="61">
        <f t="shared" si="273"/>
        <v>17</v>
      </c>
      <c r="M339" s="2" t="str">
        <f t="shared" si="271"/>
        <v/>
      </c>
      <c r="O339" s="2" t="str">
        <f t="shared" si="263"/>
        <v/>
      </c>
      <c r="P339" s="2" t="str">
        <f t="shared" si="264"/>
        <v/>
      </c>
      <c r="S339" s="2" t="str">
        <f t="shared" si="274"/>
        <v/>
      </c>
      <c r="T339" s="2" t="str">
        <f t="shared" si="275"/>
        <v/>
      </c>
      <c r="V339" s="2" t="str">
        <f t="shared" si="267"/>
        <v>SC Freiburg</v>
      </c>
      <c r="W339" s="2">
        <f t="shared" si="265"/>
        <v>6</v>
      </c>
      <c r="Y339" s="19">
        <f>RANK(AI339,$AI$325:$AI$342,0)+COUNTIF($AI$324:AI338,AI339)</f>
        <v>6</v>
      </c>
      <c r="Z339" s="19" t="str">
        <f t="shared" si="266"/>
        <v>SC Freiburg</v>
      </c>
      <c r="AA339" s="19">
        <f>COUNTIFS(F4:F177,Z339,G4:G177,"&gt;=0")+COUNTIFS(I4:I177,Z339,H4:H177,"&gt;=0")</f>
        <v>16</v>
      </c>
      <c r="AB339" s="19">
        <f>COUNTIFS(F4:F177,Z339,B4:B177,3)+COUNTIFS(I4:I177,Z339,M4:M177,3)</f>
        <v>7</v>
      </c>
      <c r="AC339" s="19">
        <f>COUNTIFS(F4:F177,Z339,B4:B177,1)+COUNTIFS(I4:I177,Z339,M4:M177,1)</f>
        <v>4</v>
      </c>
      <c r="AD339" s="19">
        <f>COUNTIFS(F4:F177,Z339,B4:B177,0)+COUNTIFS(I4:I177,Z339,M4:M177,0)</f>
        <v>5</v>
      </c>
      <c r="AE339" s="19">
        <f>SUMIF(F4:F177,Z339,G4:G177)+SUMIF(I4:I177,Z339,H4:H177)</f>
        <v>25</v>
      </c>
      <c r="AF339" s="19">
        <f>SUMIF(F4:F177,Z339,H4:H177)+SUMIF(I4:I177,Z339,G4:G177)</f>
        <v>21</v>
      </c>
      <c r="AG339" s="19">
        <f t="shared" si="269"/>
        <v>4</v>
      </c>
      <c r="AH339" s="19">
        <f t="shared" si="270"/>
        <v>25</v>
      </c>
      <c r="AI339" s="19">
        <f t="shared" si="268"/>
        <v>25000.065000000002</v>
      </c>
      <c r="AJ339" s="2"/>
      <c r="AW339" s="7"/>
    </row>
    <row r="340" spans="1:49" x14ac:dyDescent="0.25">
      <c r="A340" s="1"/>
      <c r="B340" s="2" t="str">
        <f t="shared" si="257"/>
        <v/>
      </c>
      <c r="D340" s="61">
        <f t="shared" si="272"/>
        <v>7</v>
      </c>
      <c r="F340" s="9" t="s">
        <v>85</v>
      </c>
      <c r="G340" s="10"/>
      <c r="H340" s="10"/>
      <c r="I340" s="9" t="s">
        <v>91</v>
      </c>
      <c r="J340" s="6"/>
      <c r="K340" s="61">
        <f t="shared" si="273"/>
        <v>9</v>
      </c>
      <c r="M340" s="2" t="str">
        <f t="shared" si="271"/>
        <v/>
      </c>
      <c r="O340" s="2" t="str">
        <f t="shared" si="263"/>
        <v/>
      </c>
      <c r="P340" s="2" t="str">
        <f t="shared" si="264"/>
        <v/>
      </c>
      <c r="S340" s="2" t="str">
        <f t="shared" si="274"/>
        <v/>
      </c>
      <c r="T340" s="2" t="str">
        <f t="shared" si="275"/>
        <v/>
      </c>
      <c r="V340" s="2" t="str">
        <f t="shared" si="267"/>
        <v>SC Paderborn 07</v>
      </c>
      <c r="W340" s="2">
        <f t="shared" si="265"/>
        <v>18</v>
      </c>
      <c r="Y340" s="19">
        <f>RANK(AI340,$AI$325:$AI$342,0)+COUNTIF($AI$324:AI339,AI340)</f>
        <v>18</v>
      </c>
      <c r="Z340" s="19" t="str">
        <f t="shared" si="266"/>
        <v>SC Paderborn 07</v>
      </c>
      <c r="AA340" s="19">
        <f>COUNTIFS(F4:F177,Z340,G4:G177,"&gt;=0")+COUNTIFS(I4:I177,Z340,H4:H177,"&gt;=0")</f>
        <v>16</v>
      </c>
      <c r="AB340" s="19">
        <f>COUNTIFS(F4:F177,Z340,B4:B177,3)+COUNTIFS(I4:I177,Z340,M4:M177,3)</f>
        <v>2</v>
      </c>
      <c r="AC340" s="19">
        <f>COUNTIFS(F4:F177,Z340,B4:B177,1)+COUNTIFS(I4:I177,Z340,M4:M177,1)</f>
        <v>3</v>
      </c>
      <c r="AD340" s="19">
        <f>COUNTIFS(F4:F177,Z340,B4:B177,0)+COUNTIFS(I4:I177,Z340,M4:M177,0)</f>
        <v>11</v>
      </c>
      <c r="AE340" s="19">
        <f>SUMIF(F4:F177,Z340,G4:G177)+SUMIF(I4:I177,Z340,H4:H177)</f>
        <v>18</v>
      </c>
      <c r="AF340" s="19">
        <f>SUMIF(F4:F177,Z340,H4:H177)+SUMIF(I4:I177,Z340,G4:G177)</f>
        <v>35</v>
      </c>
      <c r="AG340" s="19">
        <f t="shared" si="269"/>
        <v>-17</v>
      </c>
      <c r="AH340" s="19">
        <f t="shared" si="270"/>
        <v>9</v>
      </c>
      <c r="AI340" s="19">
        <f t="shared" si="268"/>
        <v>8999.848</v>
      </c>
      <c r="AJ340" s="2"/>
      <c r="AW340" s="7"/>
    </row>
    <row r="341" spans="1:49" x14ac:dyDescent="0.25">
      <c r="A341" s="1"/>
      <c r="B341" s="2" t="str">
        <f t="shared" si="257"/>
        <v/>
      </c>
      <c r="D341" s="61">
        <f t="shared" si="272"/>
        <v>15</v>
      </c>
      <c r="F341" s="9" t="s">
        <v>90</v>
      </c>
      <c r="G341" s="10"/>
      <c r="H341" s="10"/>
      <c r="I341" s="9" t="s">
        <v>92</v>
      </c>
      <c r="J341" s="6"/>
      <c r="K341" s="61">
        <f t="shared" si="273"/>
        <v>13</v>
      </c>
      <c r="M341" s="2" t="str">
        <f t="shared" si="271"/>
        <v/>
      </c>
      <c r="O341" s="2" t="str">
        <f t="shared" si="263"/>
        <v/>
      </c>
      <c r="P341" s="2" t="str">
        <f t="shared" si="264"/>
        <v/>
      </c>
      <c r="S341" s="2" t="str">
        <f t="shared" si="274"/>
        <v/>
      </c>
      <c r="T341" s="2" t="str">
        <f t="shared" si="275"/>
        <v/>
      </c>
      <c r="V341" s="2" t="str">
        <f t="shared" si="267"/>
        <v>VfL Wolfsburg</v>
      </c>
      <c r="W341" s="2">
        <f t="shared" si="265"/>
        <v>8</v>
      </c>
      <c r="Y341" s="19">
        <f>RANK(AI341,$AI$325:$AI$342,0)+COUNTIF($AI$324:AI340,AI341)</f>
        <v>8</v>
      </c>
      <c r="Z341" s="19" t="str">
        <f t="shared" si="266"/>
        <v>VfL Wolfsburg</v>
      </c>
      <c r="AA341" s="19">
        <f>COUNTIFS(F4:F177,Z341,G4:G177,"&gt;=0")+COUNTIFS(I4:I177,Z341,H4:H177,"&gt;=0")</f>
        <v>16</v>
      </c>
      <c r="AB341" s="19">
        <f>COUNTIFS(F4:F177,Z341,B4:B177,3)+COUNTIFS(I4:I177,Z341,M4:M177,3)</f>
        <v>6</v>
      </c>
      <c r="AC341" s="19">
        <f>COUNTIFS(F4:F177,Z341,B4:B177,1)+COUNTIFS(I4:I177,Z341,M4:M177,1)</f>
        <v>6</v>
      </c>
      <c r="AD341" s="19">
        <f>COUNTIFS(F4:F177,Z341,B4:B177,0)+COUNTIFS(I4:I177,Z341,M4:M177,0)</f>
        <v>4</v>
      </c>
      <c r="AE341" s="19">
        <f>SUMIF(F4:F177,Z341,G4:G177)+SUMIF(I4:I177,Z341,H4:H177)</f>
        <v>18</v>
      </c>
      <c r="AF341" s="19">
        <f>SUMIF(F4:F177,Z341,H4:H177)+SUMIF(I4:I177,Z341,G4:G177)</f>
        <v>16</v>
      </c>
      <c r="AG341" s="19">
        <f t="shared" si="269"/>
        <v>2</v>
      </c>
      <c r="AH341" s="19">
        <f t="shared" si="270"/>
        <v>24</v>
      </c>
      <c r="AI341" s="19">
        <f t="shared" si="268"/>
        <v>24000.038</v>
      </c>
      <c r="AJ341" s="2"/>
      <c r="AW341" s="7"/>
    </row>
    <row r="342" spans="1:49" x14ac:dyDescent="0.25">
      <c r="A342" s="1"/>
      <c r="B342" s="2" t="str">
        <f t="shared" si="257"/>
        <v/>
      </c>
      <c r="D342" s="61">
        <f t="shared" si="272"/>
        <v>11</v>
      </c>
      <c r="F342" s="9" t="s">
        <v>161</v>
      </c>
      <c r="G342" s="10"/>
      <c r="H342" s="10"/>
      <c r="I342" s="9" t="s">
        <v>162</v>
      </c>
      <c r="J342" s="6"/>
      <c r="K342" s="61">
        <f t="shared" si="273"/>
        <v>10</v>
      </c>
      <c r="M342" s="2" t="str">
        <f t="shared" si="271"/>
        <v/>
      </c>
      <c r="O342" s="2" t="str">
        <f t="shared" si="263"/>
        <v/>
      </c>
      <c r="P342" s="2" t="str">
        <f t="shared" si="264"/>
        <v/>
      </c>
      <c r="S342" s="2" t="str">
        <f t="shared" si="274"/>
        <v/>
      </c>
      <c r="T342" s="2" t="str">
        <f t="shared" si="275"/>
        <v/>
      </c>
      <c r="V342" s="2" t="str">
        <f t="shared" si="267"/>
        <v>Werder Bremen</v>
      </c>
      <c r="W342" s="2">
        <f t="shared" si="265"/>
        <v>16</v>
      </c>
      <c r="Y342" s="19">
        <f>RANK(AI342,$AI$325:$AI$342,0)+COUNTIF($AI$324:AI341,AI342)</f>
        <v>16</v>
      </c>
      <c r="Z342" s="19" t="str">
        <f t="shared" si="266"/>
        <v>Werder Bremen</v>
      </c>
      <c r="AA342" s="19">
        <f>COUNTIFS(F4:F177,Z342,G4:G177,"&gt;=0")+COUNTIFS(I4:I177,Z342,H4:H177,"&gt;=0")</f>
        <v>16</v>
      </c>
      <c r="AB342" s="19">
        <f>COUNTIFS(F4:F177,Z342,B4:B177,3)+COUNTIFS(I4:I177,Z342,M4:M177,3)</f>
        <v>3</v>
      </c>
      <c r="AC342" s="19">
        <f>COUNTIFS(F4:F177,Z342,B4:B177,1)+COUNTIFS(I4:I177,Z342,M4:M177,1)</f>
        <v>5</v>
      </c>
      <c r="AD342" s="19">
        <f>COUNTIFS(F4:F177,Z342,B4:B177,0)+COUNTIFS(I4:I177,Z342,M4:M177,0)</f>
        <v>8</v>
      </c>
      <c r="AE342" s="19">
        <f>SUMIF(F4:F177,Z342,G4:G177)+SUMIF(I4:I177,Z342,H4:H177)</f>
        <v>23</v>
      </c>
      <c r="AF342" s="19">
        <f>SUMIF(F4:F177,Z342,H4:H177)+SUMIF(I4:I177,Z342,G4:G177)</f>
        <v>40</v>
      </c>
      <c r="AG342" s="19">
        <f t="shared" si="269"/>
        <v>-17</v>
      </c>
      <c r="AH342" s="19">
        <f t="shared" si="270"/>
        <v>14</v>
      </c>
      <c r="AI342" s="19">
        <f t="shared" si="268"/>
        <v>13999.852999999999</v>
      </c>
      <c r="AJ342" s="2"/>
      <c r="AW342" s="7"/>
    </row>
    <row r="343" spans="1:49" x14ac:dyDescent="0.25">
      <c r="A343" s="1"/>
      <c r="F343" s="107"/>
      <c r="G343" s="108"/>
      <c r="H343" s="108"/>
      <c r="I343" s="107"/>
      <c r="J343" s="6"/>
      <c r="O343" s="2" t="str">
        <f t="shared" si="263"/>
        <v/>
      </c>
      <c r="P343" s="2" t="str">
        <f t="shared" si="264"/>
        <v/>
      </c>
      <c r="AJ343" s="2"/>
      <c r="AW343" s="7"/>
    </row>
    <row r="344" spans="1:49" x14ac:dyDescent="0.25">
      <c r="A344" s="1"/>
      <c r="B344" s="2" t="str">
        <f t="shared" si="257"/>
        <v/>
      </c>
      <c r="F344" s="154" t="s">
        <v>71</v>
      </c>
      <c r="G344" s="154"/>
      <c r="H344" s="154"/>
      <c r="I344" s="154"/>
      <c r="J344" s="6"/>
      <c r="M344" s="2" t="str">
        <f t="shared" ref="M344:M353" si="276">IF(H344="","",IF(H344&gt;G344,3,IF(H344=G344,1,0)))</f>
        <v/>
      </c>
      <c r="O344" s="2" t="str">
        <f t="shared" si="263"/>
        <v/>
      </c>
      <c r="P344" s="2" t="str">
        <f t="shared" si="264"/>
        <v/>
      </c>
      <c r="W344" s="18">
        <v>17</v>
      </c>
      <c r="Y344" s="19"/>
      <c r="Z344" s="19" t="s">
        <v>1</v>
      </c>
      <c r="AA344" s="19" t="s">
        <v>2</v>
      </c>
      <c r="AB344" s="19" t="s">
        <v>3</v>
      </c>
      <c r="AC344" s="19" t="s">
        <v>4</v>
      </c>
      <c r="AD344" s="19" t="s">
        <v>5</v>
      </c>
      <c r="AE344" s="19" t="s">
        <v>6</v>
      </c>
      <c r="AF344" s="19" t="s">
        <v>7</v>
      </c>
      <c r="AG344" s="19" t="s">
        <v>8</v>
      </c>
      <c r="AH344" s="19" t="s">
        <v>9</v>
      </c>
      <c r="AI344" s="19" t="s">
        <v>0</v>
      </c>
      <c r="AJ344" s="2"/>
      <c r="AW344" s="7"/>
    </row>
    <row r="345" spans="1:49" x14ac:dyDescent="0.25">
      <c r="A345" s="1"/>
      <c r="B345" s="2" t="str">
        <f t="shared" si="257"/>
        <v/>
      </c>
      <c r="D345" s="61">
        <f t="shared" ref="D345:D353" si="277">IFERROR(VLOOKUP(F345,$V$625:$W$642,2,FALSE),"")</f>
        <v>17</v>
      </c>
      <c r="F345" s="9" t="s">
        <v>87</v>
      </c>
      <c r="G345" s="10"/>
      <c r="H345" s="10"/>
      <c r="I345" s="9" t="s">
        <v>79</v>
      </c>
      <c r="J345" s="6"/>
      <c r="K345" s="61">
        <f t="shared" ref="K345:K353" si="278">IFERROR(VLOOKUP(I345,$V$625:$W$642,2,FALSE),"")</f>
        <v>1</v>
      </c>
      <c r="M345" s="2" t="str">
        <f t="shared" si="276"/>
        <v/>
      </c>
      <c r="O345" s="2" t="str">
        <f t="shared" si="263"/>
        <v/>
      </c>
      <c r="P345" s="2" t="str">
        <f t="shared" si="264"/>
        <v/>
      </c>
      <c r="S345" s="2" t="str">
        <f t="shared" ref="S345:S353" si="279">IF(M345&lt;&gt;"",F345&amp;I345,"")</f>
        <v/>
      </c>
      <c r="T345" s="2" t="str">
        <f t="shared" ref="T345:T353" si="280">IF(S345&lt;&gt;"",G345&amp;"-"&amp;H345,"")</f>
        <v/>
      </c>
      <c r="V345" s="2" t="str">
        <f>CONCATENATE(Z345)</f>
        <v>1. FC Köln</v>
      </c>
      <c r="W345" s="2">
        <f t="shared" ref="W345:W362" si="281">Y345</f>
        <v>15</v>
      </c>
      <c r="Y345" s="19">
        <f>RANK(AI345,$AI$345:$AI$362,0)+COUNTIF($AI$344:AI344,AI345)</f>
        <v>15</v>
      </c>
      <c r="Z345" s="19" t="str">
        <f t="shared" ref="Z345:Z362" si="282">CONCATENATE(Z5)</f>
        <v>1. FC Köln</v>
      </c>
      <c r="AA345" s="19">
        <f>COUNTIFS(F4:F188,Z345,G4:G188,"&gt;=0")+COUNTIFS(I4:I188,Z345,H4:H188,"&gt;=0")</f>
        <v>17</v>
      </c>
      <c r="AB345" s="19">
        <f>COUNTIFS(F4:F188,Z345,B4:B188,3)+COUNTIFS(I4:I188,Z345,M4:M188,3)</f>
        <v>5</v>
      </c>
      <c r="AC345" s="19">
        <f>COUNTIFS(F4:F188,Z345,B4:B188,1)+COUNTIFS(I4:I188,Z345,M4:M188,1)</f>
        <v>2</v>
      </c>
      <c r="AD345" s="19">
        <f>COUNTIFS(F4:F188,Z345,B4:B188,0)+COUNTIFS(I4:I188,Z345,M4:M188,0)</f>
        <v>10</v>
      </c>
      <c r="AE345" s="19">
        <f>SUMIF(F4:F188,Z345,G4:G188)+SUMIF(I4:I188,Z345,H4:H188)</f>
        <v>19</v>
      </c>
      <c r="AF345" s="19">
        <f>SUMIF(F4:F188,Z345,H4:H188)+SUMIF(I4:I188,Z345,G4:G188)</f>
        <v>32</v>
      </c>
      <c r="AG345" s="19">
        <f>+AE345-AF345</f>
        <v>-13</v>
      </c>
      <c r="AH345" s="19">
        <f>(AB345*3)+AC345</f>
        <v>17</v>
      </c>
      <c r="AI345" s="19">
        <f>SUM(AH345*1000+(AG345)/100+(AE345)/1000)</f>
        <v>16999.888999999999</v>
      </c>
      <c r="AJ345" s="2"/>
      <c r="AW345" s="7"/>
    </row>
    <row r="346" spans="1:49" x14ac:dyDescent="0.25">
      <c r="A346" s="1"/>
      <c r="B346" s="2" t="str">
        <f t="shared" si="257"/>
        <v/>
      </c>
      <c r="D346" s="61">
        <f t="shared" si="277"/>
        <v>4</v>
      </c>
      <c r="F346" s="9" t="s">
        <v>82</v>
      </c>
      <c r="G346" s="10"/>
      <c r="H346" s="10"/>
      <c r="I346" s="9" t="s">
        <v>85</v>
      </c>
      <c r="J346" s="6"/>
      <c r="K346" s="61">
        <f t="shared" si="278"/>
        <v>7</v>
      </c>
      <c r="M346" s="2" t="str">
        <f t="shared" si="276"/>
        <v/>
      </c>
      <c r="O346" s="2" t="str">
        <f t="shared" si="263"/>
        <v/>
      </c>
      <c r="P346" s="2" t="str">
        <f t="shared" si="264"/>
        <v/>
      </c>
      <c r="S346" s="2" t="str">
        <f t="shared" si="279"/>
        <v/>
      </c>
      <c r="T346" s="2" t="str">
        <f t="shared" si="280"/>
        <v/>
      </c>
      <c r="V346" s="2" t="str">
        <f t="shared" ref="V346:V362" si="283">CONCATENATE(Z346)</f>
        <v>1. FC Union Berlin</v>
      </c>
      <c r="W346" s="2">
        <f t="shared" si="281"/>
        <v>11</v>
      </c>
      <c r="Y346" s="19">
        <f>RANK(AI346,$AI$345:$AI$362,0)+COUNTIF($AI$344:AI345,AI346)</f>
        <v>11</v>
      </c>
      <c r="Z346" s="19" t="str">
        <f t="shared" si="282"/>
        <v>1. FC Union Berlin</v>
      </c>
      <c r="AA346" s="19">
        <f>COUNTIFS(F4:F188,Z346,G4:G188,"&gt;=0")+COUNTIFS(I4:I188,Z346,H4:H188,"&gt;=0")</f>
        <v>17</v>
      </c>
      <c r="AB346" s="19">
        <f>COUNTIFS(F4:F188,Z346,B4:B188,3)+COUNTIFS(I4:I188,Z346,M4:M188,3)</f>
        <v>6</v>
      </c>
      <c r="AC346" s="19">
        <f>COUNTIFS(F4:F188,Z346,B4:B188,1)+COUNTIFS(I4:I188,Z346,M4:M188,1)</f>
        <v>2</v>
      </c>
      <c r="AD346" s="19">
        <f>COUNTIFS(F4:F188,Z346,B4:B188,0)+COUNTIFS(I4:I188,Z346,M4:M188,0)</f>
        <v>9</v>
      </c>
      <c r="AE346" s="19">
        <f>SUMIF(F4:F188,Z346,G4:G188)+SUMIF(I4:I188,Z346,H4:H188)</f>
        <v>20</v>
      </c>
      <c r="AF346" s="19">
        <f>SUMIF(F4:F188,Z346,H4:H188)+SUMIF(I4:I188,Z346,G4:G188)</f>
        <v>24</v>
      </c>
      <c r="AG346" s="19">
        <f>+AE346-AF346</f>
        <v>-4</v>
      </c>
      <c r="AH346" s="19">
        <f>(AB346*3)+AC346</f>
        <v>20</v>
      </c>
      <c r="AI346" s="19">
        <f t="shared" ref="AI346:AI362" si="284">SUM(AH346*1000+(AG346)/100+(AE346)/1000)</f>
        <v>19999.98</v>
      </c>
      <c r="AJ346" s="2"/>
      <c r="AW346" s="7"/>
    </row>
    <row r="347" spans="1:49" x14ac:dyDescent="0.25">
      <c r="A347" s="1"/>
      <c r="B347" s="2" t="str">
        <f t="shared" si="257"/>
        <v/>
      </c>
      <c r="D347" s="61">
        <f t="shared" si="277"/>
        <v>13</v>
      </c>
      <c r="F347" s="9" t="s">
        <v>92</v>
      </c>
      <c r="G347" s="10"/>
      <c r="H347" s="10"/>
      <c r="I347" s="9" t="s">
        <v>86</v>
      </c>
      <c r="J347" s="6"/>
      <c r="K347" s="61">
        <f t="shared" si="278"/>
        <v>8</v>
      </c>
      <c r="M347" s="2" t="str">
        <f t="shared" si="276"/>
        <v/>
      </c>
      <c r="O347" s="2" t="str">
        <f t="shared" si="263"/>
        <v/>
      </c>
      <c r="P347" s="2" t="str">
        <f t="shared" si="264"/>
        <v/>
      </c>
      <c r="S347" s="2" t="str">
        <f t="shared" si="279"/>
        <v/>
      </c>
      <c r="T347" s="2" t="str">
        <f t="shared" si="280"/>
        <v/>
      </c>
      <c r="V347" s="2" t="str">
        <f t="shared" si="283"/>
        <v>1. FSV Mainz 05</v>
      </c>
      <c r="W347" s="2">
        <f t="shared" si="281"/>
        <v>14</v>
      </c>
      <c r="Y347" s="19">
        <f>RANK(AI347,$AI$345:$AI$362,0)+COUNTIF($AI$344:AI346,AI347)</f>
        <v>14</v>
      </c>
      <c r="Z347" s="19" t="str">
        <f t="shared" si="282"/>
        <v>1. FSV Mainz 05</v>
      </c>
      <c r="AA347" s="19">
        <f>COUNTIFS(F4:F188,Z347,G4:G188,"&gt;=0")+COUNTIFS(I4:I188,Z347,H4:H188,"&gt;=0")</f>
        <v>17</v>
      </c>
      <c r="AB347" s="19">
        <f>COUNTIFS(F4:F188,Z347,B4:B188,3)+COUNTIFS(I4:I188,Z347,M4:M188,3)</f>
        <v>6</v>
      </c>
      <c r="AC347" s="19">
        <f>COUNTIFS(F4:F188,Z347,B4:B188,1)+COUNTIFS(I4:I188,Z347,M4:M188,1)</f>
        <v>0</v>
      </c>
      <c r="AD347" s="19">
        <f>COUNTIFS(F4:F188,Z347,B4:B188,0)+COUNTIFS(I4:I188,Z347,M4:M188,0)</f>
        <v>11</v>
      </c>
      <c r="AE347" s="19">
        <f>SUMIF(F4:F188,Z347,G4:G188)+SUMIF(I4:I188,Z347,H4:H188)</f>
        <v>25</v>
      </c>
      <c r="AF347" s="19">
        <f>SUMIF(F4:F188,Z347,H4:H188)+SUMIF(I4:I188,Z347,G4:G188)</f>
        <v>39</v>
      </c>
      <c r="AG347" s="19">
        <f>+AE347-AF347</f>
        <v>-14</v>
      </c>
      <c r="AH347" s="19">
        <f>(AB347*3)+AC347</f>
        <v>18</v>
      </c>
      <c r="AI347" s="19">
        <f t="shared" si="284"/>
        <v>17999.885000000002</v>
      </c>
      <c r="AJ347" s="2"/>
      <c r="AW347" s="7"/>
    </row>
    <row r="348" spans="1:49" x14ac:dyDescent="0.25">
      <c r="A348" s="1"/>
      <c r="B348" s="2" t="str">
        <f t="shared" si="257"/>
        <v/>
      </c>
      <c r="D348" s="61">
        <f t="shared" si="277"/>
        <v>2</v>
      </c>
      <c r="F348" s="9" t="s">
        <v>81</v>
      </c>
      <c r="G348" s="10"/>
      <c r="H348" s="10"/>
      <c r="I348" s="9" t="s">
        <v>89</v>
      </c>
      <c r="J348" s="6"/>
      <c r="K348" s="61">
        <f t="shared" si="278"/>
        <v>16</v>
      </c>
      <c r="M348" s="2" t="str">
        <f t="shared" si="276"/>
        <v/>
      </c>
      <c r="O348" s="2" t="str">
        <f t="shared" si="263"/>
        <v/>
      </c>
      <c r="P348" s="2" t="str">
        <f t="shared" si="264"/>
        <v/>
      </c>
      <c r="S348" s="2" t="str">
        <f t="shared" si="279"/>
        <v/>
      </c>
      <c r="T348" s="2" t="str">
        <f t="shared" si="280"/>
        <v/>
      </c>
      <c r="V348" s="2" t="str">
        <f t="shared" si="283"/>
        <v>1899 Hoffenheim</v>
      </c>
      <c r="W348" s="2">
        <f t="shared" si="281"/>
        <v>7</v>
      </c>
      <c r="Y348" s="19">
        <f>RANK(AI348,$AI$345:$AI$362,0)+COUNTIF($AI$344:AI347,AI348)</f>
        <v>7</v>
      </c>
      <c r="Z348" s="19" t="str">
        <f t="shared" si="282"/>
        <v>1899 Hoffenheim</v>
      </c>
      <c r="AA348" s="19">
        <f>COUNTIFS(F4:F188,Z348,G4:G188,"&gt;=0")+COUNTIFS(I4:I188,Z348,H4:H188,"&gt;=0")</f>
        <v>17</v>
      </c>
      <c r="AB348" s="19">
        <f>COUNTIFS(F4:F188,Z348,B4:B188,3)+COUNTIFS(I4:I188,Z348,M4:M188,3)</f>
        <v>8</v>
      </c>
      <c r="AC348" s="19">
        <f>COUNTIFS(F4:F188,Z348,B4:B188,1)+COUNTIFS(I4:I188,Z348,M4:M188,1)</f>
        <v>3</v>
      </c>
      <c r="AD348" s="19">
        <f>COUNTIFS(F4:F188,Z348,B4:B188,0)+COUNTIFS(I4:I188,Z348,M4:M188,0)</f>
        <v>6</v>
      </c>
      <c r="AE348" s="19">
        <f>SUMIF(F4:F188,Z348,G4:G188)+SUMIF(I4:I188,Z348,H4:H188)</f>
        <v>25</v>
      </c>
      <c r="AF348" s="19">
        <f>SUMIF(F4:F188,Z348,H4:H188)+SUMIF(I4:I188,Z348,G4:G188)</f>
        <v>28</v>
      </c>
      <c r="AG348" s="19">
        <f t="shared" ref="AG348:AG362" si="285">+AE348-AF348</f>
        <v>-3</v>
      </c>
      <c r="AH348" s="19">
        <f>(AB348*3)+AC348</f>
        <v>27</v>
      </c>
      <c r="AI348" s="19">
        <f t="shared" si="284"/>
        <v>26999.995000000003</v>
      </c>
      <c r="AJ348" s="2"/>
      <c r="AW348" s="7"/>
    </row>
    <row r="349" spans="1:49" x14ac:dyDescent="0.25">
      <c r="A349" s="1"/>
      <c r="B349" s="2" t="str">
        <f t="shared" si="257"/>
        <v/>
      </c>
      <c r="D349" s="61">
        <f t="shared" si="277"/>
        <v>9</v>
      </c>
      <c r="F349" s="9" t="s">
        <v>91</v>
      </c>
      <c r="G349" s="10"/>
      <c r="H349" s="10"/>
      <c r="I349" s="9" t="s">
        <v>88</v>
      </c>
      <c r="J349" s="6"/>
      <c r="K349" s="61">
        <f t="shared" si="278"/>
        <v>14</v>
      </c>
      <c r="M349" s="2" t="str">
        <f t="shared" si="276"/>
        <v/>
      </c>
      <c r="O349" s="2" t="str">
        <f t="shared" si="263"/>
        <v/>
      </c>
      <c r="P349" s="2" t="str">
        <f t="shared" si="264"/>
        <v/>
      </c>
      <c r="S349" s="2" t="str">
        <f t="shared" si="279"/>
        <v/>
      </c>
      <c r="T349" s="2" t="str">
        <f t="shared" si="280"/>
        <v/>
      </c>
      <c r="V349" s="2" t="str">
        <f t="shared" si="283"/>
        <v>Bayer Leverkusen</v>
      </c>
      <c r="W349" s="2">
        <f t="shared" si="281"/>
        <v>6</v>
      </c>
      <c r="Y349" s="19">
        <f>RANK(AI349,$AI$345:$AI$362,0)+COUNTIF($AI$344:AI348,AI349)</f>
        <v>6</v>
      </c>
      <c r="Z349" s="19" t="str">
        <f t="shared" si="282"/>
        <v>Bayer Leverkusen</v>
      </c>
      <c r="AA349" s="19">
        <f>COUNTIFS(F4:F188,Z349,G4:G188,"&gt;=0")+COUNTIFS(I4:I188,Z349,H4:H188,"&gt;=0")</f>
        <v>17</v>
      </c>
      <c r="AB349" s="19">
        <f>COUNTIFS(F4:F188,Z349,B4:B188,3)+COUNTIFS(I4:I188,Z349,M4:M188,3)</f>
        <v>8</v>
      </c>
      <c r="AC349" s="19">
        <f>COUNTIFS(F4:F188,Z349,B4:B188,1)+COUNTIFS(I4:I188,Z349,M4:M188,1)</f>
        <v>4</v>
      </c>
      <c r="AD349" s="19">
        <f>COUNTIFS(F4:F188,Z349,B4:B188,0)+COUNTIFS(I4:I188,Z349,M4:M188,0)</f>
        <v>5</v>
      </c>
      <c r="AE349" s="19">
        <f>SUMIF(F4:F188,Z349,G4:G188)+SUMIF(I4:I188,Z349,H4:H188)</f>
        <v>23</v>
      </c>
      <c r="AF349" s="19">
        <f>SUMIF(F4:F188,Z349,H4:H188)+SUMIF(I4:I188,Z349,G4:G188)</f>
        <v>21</v>
      </c>
      <c r="AG349" s="19">
        <f t="shared" si="285"/>
        <v>2</v>
      </c>
      <c r="AH349" s="19">
        <f>(AB349*3)+AC349</f>
        <v>28</v>
      </c>
      <c r="AI349" s="19">
        <f t="shared" si="284"/>
        <v>28000.043000000001</v>
      </c>
      <c r="AJ349" s="2"/>
      <c r="AW349" s="7"/>
    </row>
    <row r="350" spans="1:49" x14ac:dyDescent="0.25">
      <c r="A350" s="1"/>
      <c r="B350" s="2" t="str">
        <f t="shared" si="257"/>
        <v/>
      </c>
      <c r="D350" s="61">
        <f t="shared" si="277"/>
        <v>3</v>
      </c>
      <c r="F350" s="9" t="s">
        <v>80</v>
      </c>
      <c r="G350" s="10"/>
      <c r="H350" s="10"/>
      <c r="I350" s="9" t="s">
        <v>90</v>
      </c>
      <c r="J350" s="6"/>
      <c r="K350" s="61">
        <f t="shared" si="278"/>
        <v>15</v>
      </c>
      <c r="M350" s="2" t="str">
        <f t="shared" si="276"/>
        <v/>
      </c>
      <c r="O350" s="2" t="str">
        <f t="shared" si="263"/>
        <v/>
      </c>
      <c r="P350" s="2" t="str">
        <f t="shared" si="264"/>
        <v/>
      </c>
      <c r="S350" s="2" t="str">
        <f t="shared" si="279"/>
        <v/>
      </c>
      <c r="T350" s="2" t="str">
        <f t="shared" si="280"/>
        <v/>
      </c>
      <c r="V350" s="2" t="str">
        <f t="shared" si="283"/>
        <v>Bayern München</v>
      </c>
      <c r="W350" s="2">
        <f t="shared" si="281"/>
        <v>3</v>
      </c>
      <c r="Y350" s="19">
        <f>RANK(AI350,$AI$345:$AI$362,0)+COUNTIF($AI$344:AI349,AI350)</f>
        <v>3</v>
      </c>
      <c r="Z350" s="19" t="str">
        <f t="shared" si="282"/>
        <v>Bayern München</v>
      </c>
      <c r="AA350" s="19">
        <f>COUNTIFS(F4:F188,Z350,G4:G188,"&gt;=0")+COUNTIFS(I4:I188,Z350,H4:H188,"&gt;=0")</f>
        <v>17</v>
      </c>
      <c r="AB350" s="19">
        <f>COUNTIFS(F4:F188,Z350,B4:B188,3)+COUNTIFS(I4:I188,Z350,M4:M188,3)</f>
        <v>10</v>
      </c>
      <c r="AC350" s="19">
        <f>COUNTIFS(F4:F188,Z350,B4:B188,1)+COUNTIFS(I4:I188,Z350,M4:M188,1)</f>
        <v>3</v>
      </c>
      <c r="AD350" s="19">
        <f>COUNTIFS(F4:F188,Z350,B4:B188,0)+COUNTIFS(I4:I188,Z350,M4:M188,0)</f>
        <v>4</v>
      </c>
      <c r="AE350" s="19">
        <f>SUMIF(F4:F188,Z350,G4:G188)+SUMIF(I4:I188,Z350,H4:H188)</f>
        <v>46</v>
      </c>
      <c r="AF350" s="19">
        <f>SUMIF(F4:F188,Z350,H4:H188)+SUMIF(I4:I188,Z350,G4:G188)</f>
        <v>22</v>
      </c>
      <c r="AG350" s="19">
        <f t="shared" si="285"/>
        <v>24</v>
      </c>
      <c r="AH350" s="19">
        <f t="shared" ref="AH350:AH362" si="286">(AB350*3)+AC350</f>
        <v>33</v>
      </c>
      <c r="AI350" s="19">
        <f t="shared" si="284"/>
        <v>33000.286</v>
      </c>
      <c r="AJ350" s="2"/>
      <c r="AW350" s="7"/>
    </row>
    <row r="351" spans="1:49" x14ac:dyDescent="0.25">
      <c r="A351" s="1"/>
      <c r="B351" s="2" t="str">
        <f t="shared" si="257"/>
        <v/>
      </c>
      <c r="D351" s="61">
        <f t="shared" si="277"/>
        <v>12</v>
      </c>
      <c r="F351" s="9" t="s">
        <v>84</v>
      </c>
      <c r="G351" s="10"/>
      <c r="H351" s="10"/>
      <c r="I351" s="9" t="s">
        <v>93</v>
      </c>
      <c r="J351" s="6"/>
      <c r="K351" s="61">
        <f t="shared" si="278"/>
        <v>6</v>
      </c>
      <c r="M351" s="2" t="str">
        <f t="shared" si="276"/>
        <v/>
      </c>
      <c r="O351" s="2" t="str">
        <f t="shared" si="263"/>
        <v/>
      </c>
      <c r="P351" s="2" t="str">
        <f t="shared" si="264"/>
        <v/>
      </c>
      <c r="S351" s="2" t="str">
        <f t="shared" si="279"/>
        <v/>
      </c>
      <c r="T351" s="2" t="str">
        <f t="shared" si="280"/>
        <v/>
      </c>
      <c r="V351" s="2" t="str">
        <f t="shared" si="283"/>
        <v>Bor. Mönchengladbach</v>
      </c>
      <c r="W351" s="2">
        <f t="shared" si="281"/>
        <v>2</v>
      </c>
      <c r="Y351" s="19">
        <f>RANK(AI351,$AI$345:$AI$362,0)+COUNTIF($AI$344:AI350,AI351)</f>
        <v>2</v>
      </c>
      <c r="Z351" s="19" t="str">
        <f t="shared" si="282"/>
        <v>Bor. Mönchengladbach</v>
      </c>
      <c r="AA351" s="19">
        <f>COUNTIFS(F4:F188,Z351,G4:G188,"&gt;=0")+COUNTIFS(I4:I188,Z351,H4:H188,"&gt;=0")</f>
        <v>17</v>
      </c>
      <c r="AB351" s="19">
        <f>COUNTIFS(F4:F188,Z351,B4:B188,3)+COUNTIFS(I4:I188,Z351,M4:M188,3)</f>
        <v>11</v>
      </c>
      <c r="AC351" s="19">
        <f>COUNTIFS(F4:F188,Z351,B4:B188,1)+COUNTIFS(I4:I188,Z351,M4:M188,1)</f>
        <v>2</v>
      </c>
      <c r="AD351" s="19">
        <f>COUNTIFS(F4:F188,Z351,B4:B188,0)+COUNTIFS(I4:I188,Z351,M4:M188,0)</f>
        <v>4</v>
      </c>
      <c r="AE351" s="19">
        <f>SUMIF(F4:F188,Z351,G4:G188)+SUMIF(I4:I188,Z351,H4:H188)</f>
        <v>33</v>
      </c>
      <c r="AF351" s="19">
        <f>SUMIF(F4:F188,Z351,H4:H188)+SUMIF(I4:I188,Z351,G4:G188)</f>
        <v>18</v>
      </c>
      <c r="AG351" s="19">
        <f t="shared" si="285"/>
        <v>15</v>
      </c>
      <c r="AH351" s="19">
        <f t="shared" si="286"/>
        <v>35</v>
      </c>
      <c r="AI351" s="19">
        <f t="shared" si="284"/>
        <v>35000.183000000005</v>
      </c>
      <c r="AJ351" s="2"/>
      <c r="AW351" s="7"/>
    </row>
    <row r="352" spans="1:49" x14ac:dyDescent="0.25">
      <c r="A352" s="1"/>
      <c r="B352" s="2" t="str">
        <f t="shared" si="257"/>
        <v/>
      </c>
      <c r="D352" s="61">
        <f t="shared" si="277"/>
        <v>5</v>
      </c>
      <c r="F352" s="9" t="s">
        <v>83</v>
      </c>
      <c r="G352" s="10"/>
      <c r="H352" s="10"/>
      <c r="I352" s="9" t="s">
        <v>161</v>
      </c>
      <c r="J352" s="6"/>
      <c r="K352" s="61">
        <f t="shared" si="278"/>
        <v>11</v>
      </c>
      <c r="M352" s="2" t="str">
        <f t="shared" si="276"/>
        <v/>
      </c>
      <c r="O352" s="2" t="str">
        <f t="shared" si="263"/>
        <v/>
      </c>
      <c r="P352" s="2" t="str">
        <f t="shared" si="264"/>
        <v/>
      </c>
      <c r="S352" s="2" t="str">
        <f t="shared" si="279"/>
        <v/>
      </c>
      <c r="T352" s="2" t="str">
        <f t="shared" si="280"/>
        <v/>
      </c>
      <c r="V352" s="2" t="str">
        <f t="shared" si="283"/>
        <v>Borussia Dortmund</v>
      </c>
      <c r="W352" s="2">
        <f t="shared" si="281"/>
        <v>4</v>
      </c>
      <c r="Y352" s="19">
        <f>RANK(AI352,$AI$345:$AI$362,0)+COUNTIF($AI$344:AI351,AI352)</f>
        <v>4</v>
      </c>
      <c r="Z352" s="19" t="str">
        <f t="shared" si="282"/>
        <v>Borussia Dortmund</v>
      </c>
      <c r="AA352" s="19">
        <f>COUNTIFS(F4:F188,Z352,G4:G188,"&gt;=0")+COUNTIFS(I4:I188,Z352,H4:H188,"&gt;=0")</f>
        <v>17</v>
      </c>
      <c r="AB352" s="19">
        <f>COUNTIFS(F4:F188,Z352,B4:B188,3)+COUNTIFS(I4:I188,Z352,M4:M188,3)</f>
        <v>8</v>
      </c>
      <c r="AC352" s="19">
        <f>COUNTIFS(F4:F188,Z352,B4:B188,1)+COUNTIFS(I4:I188,Z352,M4:M188,1)</f>
        <v>6</v>
      </c>
      <c r="AD352" s="19">
        <f>COUNTIFS(F4:F188,Z352,B4:B188,0)+COUNTIFS(I4:I188,Z352,M4:M188,0)</f>
        <v>3</v>
      </c>
      <c r="AE352" s="19">
        <f>SUMIF(F4:F188,Z352,G4:G188)+SUMIF(I4:I188,Z352,H4:H188)</f>
        <v>41</v>
      </c>
      <c r="AF352" s="19">
        <f>SUMIF(F4:F188,Z352,H4:H188)+SUMIF(I4:I188,Z352,G4:G188)</f>
        <v>24</v>
      </c>
      <c r="AG352" s="19">
        <f t="shared" si="285"/>
        <v>17</v>
      </c>
      <c r="AH352" s="19">
        <f t="shared" si="286"/>
        <v>30</v>
      </c>
      <c r="AI352" s="19">
        <f t="shared" si="284"/>
        <v>30000.210999999999</v>
      </c>
      <c r="AJ352" s="2"/>
      <c r="AW352" s="7"/>
    </row>
    <row r="353" spans="1:49" x14ac:dyDescent="0.25">
      <c r="A353" s="1"/>
      <c r="B353" s="2" t="str">
        <f t="shared" si="257"/>
        <v/>
      </c>
      <c r="D353" s="61">
        <f t="shared" si="277"/>
        <v>10</v>
      </c>
      <c r="F353" s="9" t="s">
        <v>162</v>
      </c>
      <c r="G353" s="10"/>
      <c r="H353" s="10"/>
      <c r="I353" s="9" t="s">
        <v>148</v>
      </c>
      <c r="J353" s="6"/>
      <c r="K353" s="61">
        <f t="shared" si="278"/>
        <v>18</v>
      </c>
      <c r="M353" s="2" t="str">
        <f t="shared" si="276"/>
        <v/>
      </c>
      <c r="O353" s="2" t="str">
        <f t="shared" si="263"/>
        <v/>
      </c>
      <c r="P353" s="2" t="str">
        <f t="shared" si="264"/>
        <v/>
      </c>
      <c r="S353" s="2" t="str">
        <f t="shared" si="279"/>
        <v/>
      </c>
      <c r="T353" s="2" t="str">
        <f t="shared" si="280"/>
        <v/>
      </c>
      <c r="V353" s="2" t="str">
        <f t="shared" si="283"/>
        <v>Eintracht Frankfurt</v>
      </c>
      <c r="W353" s="2">
        <f t="shared" si="281"/>
        <v>13</v>
      </c>
      <c r="Y353" s="19">
        <f>RANK(AI353,$AI$345:$AI$362,0)+COUNTIF($AI$344:AI352,AI353)</f>
        <v>13</v>
      </c>
      <c r="Z353" s="19" t="str">
        <f t="shared" si="282"/>
        <v>Eintracht Frankfurt</v>
      </c>
      <c r="AA353" s="19">
        <f>COUNTIFS(F4:F188,Z353,G4:G188,"&gt;=0")+COUNTIFS(I4:I188,Z353,H4:H188,"&gt;=0")</f>
        <v>17</v>
      </c>
      <c r="AB353" s="19">
        <f>COUNTIFS(F4:F188,Z353,B4:B188,3)+COUNTIFS(I4:I188,Z353,M4:M188,3)</f>
        <v>5</v>
      </c>
      <c r="AC353" s="19">
        <f>COUNTIFS(F4:F188,Z353,B4:B188,1)+COUNTIFS(I4:I188,Z353,M4:M188,1)</f>
        <v>3</v>
      </c>
      <c r="AD353" s="19">
        <f>COUNTIFS(F4:F188,Z353,B4:B188,0)+COUNTIFS(I4:I188,Z353,M4:M188,0)</f>
        <v>9</v>
      </c>
      <c r="AE353" s="19">
        <f>SUMIF(F4:F188,Z353,G4:G188)+SUMIF(I4:I188,Z353,H4:H188)</f>
        <v>27</v>
      </c>
      <c r="AF353" s="19">
        <f>SUMIF(F4:F188,Z353,H4:H188)+SUMIF(I4:I188,Z353,G4:G188)</f>
        <v>29</v>
      </c>
      <c r="AG353" s="19">
        <f t="shared" si="285"/>
        <v>-2</v>
      </c>
      <c r="AH353" s="19">
        <f t="shared" si="286"/>
        <v>18</v>
      </c>
      <c r="AI353" s="19">
        <f t="shared" si="284"/>
        <v>18000.006999999998</v>
      </c>
      <c r="AJ353" s="2"/>
      <c r="AW353" s="7"/>
    </row>
    <row r="354" spans="1:49" x14ac:dyDescent="0.25">
      <c r="A354" s="1"/>
      <c r="F354" s="107"/>
      <c r="G354" s="108"/>
      <c r="H354" s="108"/>
      <c r="I354" s="107"/>
      <c r="J354" s="6"/>
      <c r="O354" s="2" t="str">
        <f t="shared" si="263"/>
        <v/>
      </c>
      <c r="P354" s="2" t="str">
        <f t="shared" si="264"/>
        <v/>
      </c>
      <c r="V354" s="2" t="str">
        <f t="shared" si="283"/>
        <v>FC Augsburg</v>
      </c>
      <c r="W354" s="2">
        <f t="shared" si="281"/>
        <v>10</v>
      </c>
      <c r="Y354" s="19">
        <f>RANK(AI354,$AI$345:$AI$362,0)+COUNTIF($AI$344:AI353,AI354)</f>
        <v>10</v>
      </c>
      <c r="Z354" s="19" t="str">
        <f t="shared" si="282"/>
        <v>FC Augsburg</v>
      </c>
      <c r="AA354" s="19">
        <f>COUNTIFS(F4:F188,Z354,G4:G188,"&gt;=0")+COUNTIFS(I4:I188,Z354,H4:H188,"&gt;=0")</f>
        <v>17</v>
      </c>
      <c r="AB354" s="19">
        <f>COUNTIFS(F4:F188,Z354,B4:B188,3)+COUNTIFS(I4:I188,Z354,M4:M188,3)</f>
        <v>6</v>
      </c>
      <c r="AC354" s="19">
        <f>COUNTIFS(F4:F188,Z354,B4:B188,1)+COUNTIFS(I4:I188,Z354,M4:M188,1)</f>
        <v>5</v>
      </c>
      <c r="AD354" s="19">
        <f>COUNTIFS(F4:F188,Z354,B4:B188,0)+COUNTIFS(I4:I188,Z354,M4:M188,0)</f>
        <v>6</v>
      </c>
      <c r="AE354" s="19">
        <f>SUMIF(F4:F188,Z354,G4:G188)+SUMIF(I4:I188,Z354,H4:H188)</f>
        <v>28</v>
      </c>
      <c r="AF354" s="19">
        <f>SUMIF(F4:F188,Z354,H4:H188)+SUMIF(I4:I188,Z354,G4:G188)</f>
        <v>31</v>
      </c>
      <c r="AG354" s="19">
        <f t="shared" si="285"/>
        <v>-3</v>
      </c>
      <c r="AH354" s="19">
        <f t="shared" si="286"/>
        <v>23</v>
      </c>
      <c r="AI354" s="19">
        <f t="shared" si="284"/>
        <v>22999.998</v>
      </c>
      <c r="AJ354" s="2"/>
      <c r="AW354" s="7"/>
    </row>
    <row r="355" spans="1:49" x14ac:dyDescent="0.25">
      <c r="A355" s="1"/>
      <c r="B355" s="2" t="str">
        <f t="shared" si="257"/>
        <v/>
      </c>
      <c r="F355" s="154" t="s">
        <v>72</v>
      </c>
      <c r="G355" s="154"/>
      <c r="H355" s="154"/>
      <c r="I355" s="154"/>
      <c r="J355" s="6"/>
      <c r="M355" s="2" t="str">
        <f t="shared" ref="M355:M364" si="287">IF(H355="","",IF(H355&gt;G355,3,IF(H355=G355,1,0)))</f>
        <v/>
      </c>
      <c r="O355" s="2" t="str">
        <f t="shared" si="263"/>
        <v/>
      </c>
      <c r="P355" s="2" t="str">
        <f t="shared" si="264"/>
        <v/>
      </c>
      <c r="V355" s="2" t="str">
        <f t="shared" si="283"/>
        <v>FC Schalke 04</v>
      </c>
      <c r="W355" s="2">
        <f t="shared" si="281"/>
        <v>5</v>
      </c>
      <c r="Y355" s="19">
        <f>RANK(AI355,$AI$345:$AI$362,0)+COUNTIF($AI$344:AI354,AI355)</f>
        <v>5</v>
      </c>
      <c r="Z355" s="19" t="str">
        <f t="shared" si="282"/>
        <v>FC Schalke 04</v>
      </c>
      <c r="AA355" s="19">
        <f>COUNTIFS(F4:F188,Z355,G4:G188,"&gt;=0")+COUNTIFS(I4:I188,Z355,H4:H188,"&gt;=0")</f>
        <v>17</v>
      </c>
      <c r="AB355" s="19">
        <f>COUNTIFS(F4:F188,Z355,B4:B188,3)+COUNTIFS(I4:I188,Z355,M4:M188,3)</f>
        <v>8</v>
      </c>
      <c r="AC355" s="19">
        <f>COUNTIFS(F4:F188,Z355,B4:B188,1)+COUNTIFS(I4:I188,Z355,M4:M188,1)</f>
        <v>6</v>
      </c>
      <c r="AD355" s="19">
        <f>COUNTIFS(F4:F188,Z355,B4:B188,0)+COUNTIFS(I4:I188,Z355,M4:M188,0)</f>
        <v>3</v>
      </c>
      <c r="AE355" s="19">
        <f>SUMIF(F4:F188,Z355,G4:G188)+SUMIF(I4:I188,Z355,H4:H188)</f>
        <v>29</v>
      </c>
      <c r="AF355" s="19">
        <f>SUMIF(F4:F188,Z355,H4:H188)+SUMIF(I4:I188,Z355,G4:G188)</f>
        <v>21</v>
      </c>
      <c r="AG355" s="19">
        <f t="shared" si="285"/>
        <v>8</v>
      </c>
      <c r="AH355" s="19">
        <f t="shared" si="286"/>
        <v>30</v>
      </c>
      <c r="AI355" s="19">
        <f t="shared" si="284"/>
        <v>30000.109</v>
      </c>
      <c r="AW355" s="7"/>
    </row>
    <row r="356" spans="1:49" x14ac:dyDescent="0.25">
      <c r="A356" s="1"/>
      <c r="B356" s="2" t="str">
        <f t="shared" si="257"/>
        <v/>
      </c>
      <c r="D356" s="61">
        <f t="shared" ref="D356:D364" si="288">IFERROR(VLOOKUP(F356,$V$645:$W$662,2,FALSE),"")</f>
        <v>2</v>
      </c>
      <c r="F356" s="9" t="s">
        <v>81</v>
      </c>
      <c r="G356" s="10"/>
      <c r="H356" s="10"/>
      <c r="I356" s="9" t="s">
        <v>80</v>
      </c>
      <c r="J356" s="6"/>
      <c r="K356" s="61">
        <f t="shared" ref="K356:K364" si="289">IFERROR(VLOOKUP(I356,$V$645:$W$662,2,FALSE),"")</f>
        <v>3</v>
      </c>
      <c r="M356" s="2" t="str">
        <f t="shared" si="287"/>
        <v/>
      </c>
      <c r="O356" s="2" t="str">
        <f t="shared" si="263"/>
        <v/>
      </c>
      <c r="P356" s="2" t="str">
        <f t="shared" si="264"/>
        <v/>
      </c>
      <c r="S356" s="2" t="str">
        <f t="shared" ref="S356:S364" si="290">IF(M356&lt;&gt;"",F356&amp;I356,"")</f>
        <v/>
      </c>
      <c r="T356" s="2" t="str">
        <f t="shared" ref="T356:T364" si="291">IF(S356&lt;&gt;"",G356&amp;"-"&amp;H356,"")</f>
        <v/>
      </c>
      <c r="V356" s="2" t="str">
        <f t="shared" si="283"/>
        <v>Fortuna Düsseldorf</v>
      </c>
      <c r="W356" s="2">
        <f t="shared" si="281"/>
        <v>16</v>
      </c>
      <c r="Y356" s="19">
        <f>RANK(AI356,$AI$345:$AI$362,0)+COUNTIF($AI$344:AI355,AI356)</f>
        <v>16</v>
      </c>
      <c r="Z356" s="19" t="str">
        <f t="shared" si="282"/>
        <v>Fortuna Düsseldorf</v>
      </c>
      <c r="AA356" s="19">
        <f>COUNTIFS(F4:F188,Z356,G4:G188,"&gt;=0")+COUNTIFS(I4:I188,Z356,H4:H188,"&gt;=0")</f>
        <v>17</v>
      </c>
      <c r="AB356" s="19">
        <f>COUNTIFS(F4:F188,Z356,B4:B188,3)+COUNTIFS(I4:I188,Z356,M4:M188,3)</f>
        <v>4</v>
      </c>
      <c r="AC356" s="19">
        <f>COUNTIFS(F4:F188,Z356,B4:B188,1)+COUNTIFS(I4:I188,Z356,M4:M188,1)</f>
        <v>3</v>
      </c>
      <c r="AD356" s="19">
        <f>COUNTIFS(F4:F188,Z356,B4:B188,0)+COUNTIFS(I4:I188,Z356,M4:M188,0)</f>
        <v>10</v>
      </c>
      <c r="AE356" s="19">
        <f>SUMIF(F4:F188,Z356,G4:G188)+SUMIF(I4:I188,Z356,H4:H188)</f>
        <v>18</v>
      </c>
      <c r="AF356" s="19">
        <f>SUMIF(F4:F188,Z356,H4:H188)+SUMIF(I4:I188,Z356,G4:G188)</f>
        <v>36</v>
      </c>
      <c r="AG356" s="19">
        <f t="shared" si="285"/>
        <v>-18</v>
      </c>
      <c r="AH356" s="19">
        <f t="shared" si="286"/>
        <v>15</v>
      </c>
      <c r="AI356" s="19">
        <f t="shared" si="284"/>
        <v>14999.838</v>
      </c>
      <c r="AJ356" s="2"/>
      <c r="AW356" s="7"/>
    </row>
    <row r="357" spans="1:49" x14ac:dyDescent="0.25">
      <c r="A357" s="1"/>
      <c r="B357" s="2" t="str">
        <f t="shared" si="257"/>
        <v/>
      </c>
      <c r="D357" s="61">
        <f t="shared" si="288"/>
        <v>14</v>
      </c>
      <c r="F357" s="9" t="s">
        <v>88</v>
      </c>
      <c r="G357" s="10"/>
      <c r="H357" s="10"/>
      <c r="I357" s="9" t="s">
        <v>83</v>
      </c>
      <c r="J357" s="6"/>
      <c r="K357" s="61">
        <f t="shared" si="289"/>
        <v>5</v>
      </c>
      <c r="M357" s="2" t="str">
        <f t="shared" si="287"/>
        <v/>
      </c>
      <c r="O357" s="2" t="str">
        <f t="shared" si="263"/>
        <v/>
      </c>
      <c r="P357" s="2" t="str">
        <f t="shared" si="264"/>
        <v/>
      </c>
      <c r="S357" s="2" t="str">
        <f t="shared" si="290"/>
        <v/>
      </c>
      <c r="T357" s="2" t="str">
        <f t="shared" si="291"/>
        <v/>
      </c>
      <c r="V357" s="2" t="str">
        <f t="shared" si="283"/>
        <v>Hertha BSC</v>
      </c>
      <c r="W357" s="2">
        <f t="shared" si="281"/>
        <v>12</v>
      </c>
      <c r="Y357" s="19">
        <f>RANK(AI357,$AI$345:$AI$362,0)+COUNTIF($AI$344:AI356,AI357)</f>
        <v>12</v>
      </c>
      <c r="Z357" s="19" t="str">
        <f t="shared" si="282"/>
        <v>Hertha BSC</v>
      </c>
      <c r="AA357" s="19">
        <f>COUNTIFS(F4:F188,Z357,G4:G188,"&gt;=0")+COUNTIFS(I4:I188,Z357,H4:H188,"&gt;=0")</f>
        <v>17</v>
      </c>
      <c r="AB357" s="19">
        <f>COUNTIFS(F4:F188,Z357,B4:B188,3)+COUNTIFS(I4:I188,Z357,M4:M188,3)</f>
        <v>5</v>
      </c>
      <c r="AC357" s="19">
        <f>COUNTIFS(F4:F188,Z357,B4:B188,1)+COUNTIFS(I4:I188,Z357,M4:M188,1)</f>
        <v>4</v>
      </c>
      <c r="AD357" s="19">
        <f>COUNTIFS(F4:F188,Z357,B4:B188,0)+COUNTIFS(I4:I188,Z357,M4:M188,0)</f>
        <v>8</v>
      </c>
      <c r="AE357" s="19">
        <f>SUMIF(F4:F188,Z357,G4:G188)+SUMIF(I4:I188,Z357,H4:H188)</f>
        <v>22</v>
      </c>
      <c r="AF357" s="19">
        <f>SUMIF(F4:F188,Z357,H4:H188)+SUMIF(I4:I188,Z357,G4:G188)</f>
        <v>29</v>
      </c>
      <c r="AG357" s="19">
        <f t="shared" si="285"/>
        <v>-7</v>
      </c>
      <c r="AH357" s="19">
        <f t="shared" si="286"/>
        <v>19</v>
      </c>
      <c r="AI357" s="19">
        <f t="shared" si="284"/>
        <v>18999.952000000001</v>
      </c>
      <c r="AJ357" s="2"/>
      <c r="AW357" s="7"/>
    </row>
    <row r="358" spans="1:49" x14ac:dyDescent="0.25">
      <c r="A358" s="1"/>
      <c r="B358" s="2" t="str">
        <f t="shared" si="257"/>
        <v/>
      </c>
      <c r="D358" s="61">
        <f t="shared" si="288"/>
        <v>18</v>
      </c>
      <c r="F358" s="9" t="s">
        <v>148</v>
      </c>
      <c r="G358" s="10"/>
      <c r="H358" s="10"/>
      <c r="I358" s="9" t="s">
        <v>82</v>
      </c>
      <c r="J358" s="6"/>
      <c r="K358" s="61">
        <f t="shared" si="289"/>
        <v>4</v>
      </c>
      <c r="M358" s="2" t="str">
        <f t="shared" si="287"/>
        <v/>
      </c>
      <c r="O358" s="2" t="str">
        <f t="shared" si="263"/>
        <v/>
      </c>
      <c r="P358" s="2" t="str">
        <f t="shared" si="264"/>
        <v/>
      </c>
      <c r="S358" s="2" t="str">
        <f t="shared" si="290"/>
        <v/>
      </c>
      <c r="T358" s="2" t="str">
        <f t="shared" si="291"/>
        <v/>
      </c>
      <c r="V358" s="2" t="str">
        <f t="shared" si="283"/>
        <v>RB Leipzig</v>
      </c>
      <c r="W358" s="2">
        <f t="shared" si="281"/>
        <v>1</v>
      </c>
      <c r="Y358" s="19">
        <f>RANK(AI358,$AI$345:$AI$362,0)+COUNTIF($AI$344:AI357,AI358)</f>
        <v>1</v>
      </c>
      <c r="Z358" s="19" t="str">
        <f t="shared" si="282"/>
        <v>RB Leipzig</v>
      </c>
      <c r="AA358" s="19">
        <f>COUNTIFS(F4:F188,Z345,G4:G188,"&gt;=0")+COUNTIFS(I4:I188,Z345,H4:H188,"&gt;=0")</f>
        <v>17</v>
      </c>
      <c r="AB358" s="19">
        <f>COUNTIFS(F4:F188,Z358,B4:B188,3)+COUNTIFS(I4:I188,Z358,M4:M188,3)</f>
        <v>11</v>
      </c>
      <c r="AC358" s="19">
        <f>COUNTIFS(F4:F188,Z358,B4:B188,1)+COUNTIFS(I4:I188,Z358,M4:M188,1)</f>
        <v>4</v>
      </c>
      <c r="AD358" s="19">
        <f>COUNTIFS(F4:F188,Z358,B4:B188,0)+COUNTIFS(I4:I188,Z358,M4:M188,0)</f>
        <v>2</v>
      </c>
      <c r="AE358" s="19">
        <f>SUMIF(F4:F188,Z358,G4:G188)+SUMIF(I4:I188,Z358,H4:H188)</f>
        <v>48</v>
      </c>
      <c r="AF358" s="19">
        <f>SUMIF(F4:F188,Z358,H4:H188)+SUMIF(I4:I188,Z358,G4:G188)</f>
        <v>20</v>
      </c>
      <c r="AG358" s="19">
        <f t="shared" si="285"/>
        <v>28</v>
      </c>
      <c r="AH358" s="19">
        <f t="shared" si="286"/>
        <v>37</v>
      </c>
      <c r="AI358" s="19">
        <f t="shared" si="284"/>
        <v>37000.328000000001</v>
      </c>
      <c r="AJ358" s="2"/>
      <c r="AW358" s="7"/>
    </row>
    <row r="359" spans="1:49" x14ac:dyDescent="0.25">
      <c r="A359" s="1"/>
      <c r="B359" s="2" t="str">
        <f t="shared" si="257"/>
        <v/>
      </c>
      <c r="D359" s="61">
        <f t="shared" si="288"/>
        <v>6</v>
      </c>
      <c r="F359" s="9" t="s">
        <v>93</v>
      </c>
      <c r="G359" s="10"/>
      <c r="H359" s="10"/>
      <c r="I359" s="9" t="s">
        <v>85</v>
      </c>
      <c r="J359" s="6"/>
      <c r="K359" s="61">
        <f t="shared" si="289"/>
        <v>7</v>
      </c>
      <c r="M359" s="2" t="str">
        <f t="shared" si="287"/>
        <v/>
      </c>
      <c r="O359" s="2" t="str">
        <f t="shared" si="263"/>
        <v/>
      </c>
      <c r="P359" s="2" t="str">
        <f t="shared" si="264"/>
        <v/>
      </c>
      <c r="S359" s="2" t="str">
        <f t="shared" si="290"/>
        <v/>
      </c>
      <c r="T359" s="2" t="str">
        <f t="shared" si="291"/>
        <v/>
      </c>
      <c r="V359" s="2" t="str">
        <f t="shared" si="283"/>
        <v>SC Freiburg</v>
      </c>
      <c r="W359" s="2">
        <f t="shared" si="281"/>
        <v>8</v>
      </c>
      <c r="Y359" s="19">
        <f>RANK(AI359,$AI$345:$AI$362,0)+COUNTIF($AI$344:AI358,AI359)</f>
        <v>8</v>
      </c>
      <c r="Z359" s="19" t="str">
        <f t="shared" si="282"/>
        <v>SC Freiburg</v>
      </c>
      <c r="AA359" s="19">
        <f>COUNTIFS(F4:F188,Z359,G4:G188,"&gt;=0")+COUNTIFS(I4:I188,Z359,H4:H188,"&gt;=0")</f>
        <v>17</v>
      </c>
      <c r="AB359" s="19">
        <f>COUNTIFS(F4:F188,Z359,B4:B188,3)+COUNTIFS(I4:I188,Z359,M4:M188,3)</f>
        <v>7</v>
      </c>
      <c r="AC359" s="19">
        <f>COUNTIFS(F4:F188,Z359,B4:B188,1)+COUNTIFS(I4:I188,Z359,M4:M188,1)</f>
        <v>5</v>
      </c>
      <c r="AD359" s="19">
        <f>COUNTIFS(F4:F188,Z359,B4:B188,0)+COUNTIFS(I4:I188,Z359,M4:M188,0)</f>
        <v>5</v>
      </c>
      <c r="AE359" s="19">
        <f>SUMIF(F4:F188,Z359,G4:G188)+SUMIF(I4:I188,Z359,H4:H188)</f>
        <v>27</v>
      </c>
      <c r="AF359" s="19">
        <f>SUMIF(F4:F188,Z359,H4:H188)+SUMIF(I4:I188,Z359,G4:G188)</f>
        <v>23</v>
      </c>
      <c r="AG359" s="19">
        <f t="shared" si="285"/>
        <v>4</v>
      </c>
      <c r="AH359" s="19">
        <f t="shared" si="286"/>
        <v>26</v>
      </c>
      <c r="AI359" s="19">
        <f t="shared" si="284"/>
        <v>26000.066999999999</v>
      </c>
      <c r="AJ359" s="2"/>
      <c r="AW359" s="7"/>
    </row>
    <row r="360" spans="1:49" x14ac:dyDescent="0.25">
      <c r="A360" s="1"/>
      <c r="B360" s="2" t="str">
        <f t="shared" si="257"/>
        <v/>
      </c>
      <c r="D360" s="61">
        <f t="shared" si="288"/>
        <v>11</v>
      </c>
      <c r="F360" s="9" t="s">
        <v>161</v>
      </c>
      <c r="G360" s="10"/>
      <c r="H360" s="10"/>
      <c r="I360" s="9" t="s">
        <v>84</v>
      </c>
      <c r="J360" s="6"/>
      <c r="K360" s="61">
        <f t="shared" si="289"/>
        <v>12</v>
      </c>
      <c r="M360" s="2" t="str">
        <f t="shared" si="287"/>
        <v/>
      </c>
      <c r="O360" s="2" t="str">
        <f t="shared" si="263"/>
        <v/>
      </c>
      <c r="P360" s="2" t="str">
        <f t="shared" si="264"/>
        <v/>
      </c>
      <c r="S360" s="2" t="str">
        <f t="shared" si="290"/>
        <v/>
      </c>
      <c r="T360" s="2" t="str">
        <f t="shared" si="291"/>
        <v/>
      </c>
      <c r="V360" s="2" t="str">
        <f t="shared" si="283"/>
        <v>SC Paderborn 07</v>
      </c>
      <c r="W360" s="2">
        <f t="shared" si="281"/>
        <v>18</v>
      </c>
      <c r="Y360" s="19">
        <f>RANK(AI360,$AI$345:$AI$362,0)+COUNTIF($AI$344:AI359,AI360)</f>
        <v>18</v>
      </c>
      <c r="Z360" s="19" t="str">
        <f t="shared" si="282"/>
        <v>SC Paderborn 07</v>
      </c>
      <c r="AA360" s="19">
        <f>COUNTIFS(F4:F188,Z360,G4:G188,"&gt;=0")+COUNTIFS(I4:I188,Z360,H4:H188,"&gt;=0")</f>
        <v>17</v>
      </c>
      <c r="AB360" s="19">
        <f>COUNTIFS(F4:F188,Z360,B4:B188,3)+COUNTIFS(I4:I188,Z360,M4:M188,3)</f>
        <v>3</v>
      </c>
      <c r="AC360" s="19">
        <f>COUNTIFS(F4:F188,Z360,B4:B188,1)+COUNTIFS(I4:I188,Z360,M4:M188,1)</f>
        <v>3</v>
      </c>
      <c r="AD360" s="19">
        <f>COUNTIFS(F4:F188,Z360,B4:B188,0)+COUNTIFS(I4:I188,Z360,M4:M188,0)</f>
        <v>11</v>
      </c>
      <c r="AE360" s="19">
        <f>SUMIF(F4:F188,Z360,G4:G188)+SUMIF(I4:I188,Z360,H4:H188)</f>
        <v>20</v>
      </c>
      <c r="AF360" s="19">
        <f>SUMIF(F4:F188,Z360,H4:H188)+SUMIF(I4:I188,Z360,G4:G188)</f>
        <v>36</v>
      </c>
      <c r="AG360" s="19">
        <f t="shared" si="285"/>
        <v>-16</v>
      </c>
      <c r="AH360" s="19">
        <f t="shared" si="286"/>
        <v>12</v>
      </c>
      <c r="AI360" s="19">
        <f t="shared" si="284"/>
        <v>11999.86</v>
      </c>
      <c r="AJ360" s="2"/>
      <c r="AW360" s="7"/>
    </row>
    <row r="361" spans="1:49" x14ac:dyDescent="0.25">
      <c r="A361" s="1"/>
      <c r="B361" s="2" t="str">
        <f t="shared" si="257"/>
        <v/>
      </c>
      <c r="D361" s="61">
        <f t="shared" si="288"/>
        <v>15</v>
      </c>
      <c r="F361" s="9" t="s">
        <v>90</v>
      </c>
      <c r="G361" s="10"/>
      <c r="H361" s="10"/>
      <c r="I361" s="9" t="s">
        <v>87</v>
      </c>
      <c r="J361" s="6"/>
      <c r="K361" s="61">
        <f t="shared" si="289"/>
        <v>17</v>
      </c>
      <c r="M361" s="2" t="str">
        <f t="shared" si="287"/>
        <v/>
      </c>
      <c r="O361" s="2" t="str">
        <f t="shared" si="263"/>
        <v/>
      </c>
      <c r="P361" s="2" t="str">
        <f t="shared" si="264"/>
        <v/>
      </c>
      <c r="S361" s="2" t="str">
        <f t="shared" si="290"/>
        <v/>
      </c>
      <c r="T361" s="2" t="str">
        <f t="shared" si="291"/>
        <v/>
      </c>
      <c r="V361" s="2" t="str">
        <f t="shared" si="283"/>
        <v>VfL Wolfsburg</v>
      </c>
      <c r="W361" s="2">
        <f t="shared" si="281"/>
        <v>9</v>
      </c>
      <c r="Y361" s="19">
        <f>RANK(AI361,$AI$345:$AI$362,0)+COUNTIF($AI$344:AI360,AI361)</f>
        <v>9</v>
      </c>
      <c r="Z361" s="19" t="str">
        <f t="shared" si="282"/>
        <v>VfL Wolfsburg</v>
      </c>
      <c r="AA361" s="19">
        <f>COUNTIFS(F4:F188,Z361,G4:G188,"&gt;=0")+COUNTIFS(I4:I188,Z361,H4:H188,"&gt;=0")</f>
        <v>17</v>
      </c>
      <c r="AB361" s="19">
        <f>COUNTIFS(F4:F188,Z361,B4:B188,3)+COUNTIFS(I4:I188,Z361,M4:M188,3)</f>
        <v>6</v>
      </c>
      <c r="AC361" s="19">
        <f>COUNTIFS(F4:F188,Z361,B4:B188,1)+COUNTIFS(I4:I188,Z361,M4:M188,1)</f>
        <v>6</v>
      </c>
      <c r="AD361" s="19">
        <f>COUNTIFS(F4:F188,Z361,B4:B188,0)+COUNTIFS(I4:I188,Z361,M4:M188,0)</f>
        <v>5</v>
      </c>
      <c r="AE361" s="19">
        <f>SUMIF(F4:F188,Z361,G4:G188)+SUMIF(I4:I188,Z361,H4:H188)</f>
        <v>18</v>
      </c>
      <c r="AF361" s="19">
        <f>SUMIF(F4:F188,Z361,H4:H188)+SUMIF(I4:I188,Z361,G4:G188)</f>
        <v>18</v>
      </c>
      <c r="AG361" s="19">
        <f t="shared" si="285"/>
        <v>0</v>
      </c>
      <c r="AH361" s="19">
        <f t="shared" si="286"/>
        <v>24</v>
      </c>
      <c r="AI361" s="19">
        <f t="shared" si="284"/>
        <v>24000.018</v>
      </c>
      <c r="AJ361" s="2"/>
      <c r="AW361" s="7"/>
    </row>
    <row r="362" spans="1:49" x14ac:dyDescent="0.25">
      <c r="A362" s="1"/>
      <c r="B362" s="2" t="str">
        <f t="shared" si="257"/>
        <v/>
      </c>
      <c r="D362" s="61">
        <f t="shared" si="288"/>
        <v>1</v>
      </c>
      <c r="F362" s="9" t="s">
        <v>79</v>
      </c>
      <c r="G362" s="10"/>
      <c r="H362" s="10"/>
      <c r="I362" s="9" t="s">
        <v>91</v>
      </c>
      <c r="J362" s="6"/>
      <c r="K362" s="61">
        <f t="shared" si="289"/>
        <v>9</v>
      </c>
      <c r="M362" s="2" t="str">
        <f t="shared" si="287"/>
        <v/>
      </c>
      <c r="O362" s="2" t="str">
        <f t="shared" si="263"/>
        <v/>
      </c>
      <c r="P362" s="2" t="str">
        <f t="shared" si="264"/>
        <v/>
      </c>
      <c r="S362" s="2" t="str">
        <f t="shared" si="290"/>
        <v/>
      </c>
      <c r="T362" s="2" t="str">
        <f t="shared" si="291"/>
        <v/>
      </c>
      <c r="V362" s="2" t="str">
        <f t="shared" si="283"/>
        <v>Werder Bremen</v>
      </c>
      <c r="W362" s="2">
        <f t="shared" si="281"/>
        <v>17</v>
      </c>
      <c r="Y362" s="19">
        <f>RANK(AI362,$AI$345:$AI$362,0)+COUNTIF($AI$344:AI361,AI362)</f>
        <v>17</v>
      </c>
      <c r="Z362" s="19" t="str">
        <f t="shared" si="282"/>
        <v>Werder Bremen</v>
      </c>
      <c r="AA362" s="19">
        <f>COUNTIFS(F4:F188,Z362,G4:G188,"&gt;=0")+COUNTIFS(I4:I188,Z362,H4:H188,"&gt;=0")</f>
        <v>17</v>
      </c>
      <c r="AB362" s="19">
        <f>COUNTIFS(F4:F188,Z362,B4:B188,3)+COUNTIFS(I4:I188,Z362,M4:M188,3)</f>
        <v>3</v>
      </c>
      <c r="AC362" s="19">
        <f>COUNTIFS(F4:F188,Z362,B4:B188,1)+COUNTIFS(I4:I188,Z362,M4:M188,1)</f>
        <v>5</v>
      </c>
      <c r="AD362" s="19">
        <f>COUNTIFS(F4:F188,Z362,B4:B188,0)+COUNTIFS(I4:I188,Z362,M4:M188,0)</f>
        <v>9</v>
      </c>
      <c r="AE362" s="19">
        <f>SUMIF(F4:F188,Z362,G4:G188)+SUMIF(I4:I188,Z362,H4:H188)</f>
        <v>23</v>
      </c>
      <c r="AF362" s="19">
        <f>SUMIF(F4:F188,Z362,H4:H188)+SUMIF(I4:I188,Z362,G4:G188)</f>
        <v>41</v>
      </c>
      <c r="AG362" s="19">
        <f t="shared" si="285"/>
        <v>-18</v>
      </c>
      <c r="AH362" s="19">
        <f t="shared" si="286"/>
        <v>14</v>
      </c>
      <c r="AI362" s="19">
        <f t="shared" si="284"/>
        <v>13999.842999999999</v>
      </c>
      <c r="AJ362" s="2"/>
      <c r="AW362" s="7"/>
    </row>
    <row r="363" spans="1:49" x14ac:dyDescent="0.25">
      <c r="A363" s="1"/>
      <c r="B363" s="2" t="str">
        <f t="shared" si="257"/>
        <v/>
      </c>
      <c r="D363" s="61">
        <f t="shared" si="288"/>
        <v>16</v>
      </c>
      <c r="F363" s="9" t="s">
        <v>89</v>
      </c>
      <c r="G363" s="10"/>
      <c r="H363" s="10"/>
      <c r="I363" s="9" t="s">
        <v>92</v>
      </c>
      <c r="J363" s="6"/>
      <c r="K363" s="61">
        <f t="shared" si="289"/>
        <v>13</v>
      </c>
      <c r="M363" s="2" t="str">
        <f t="shared" si="287"/>
        <v/>
      </c>
      <c r="O363" s="2" t="str">
        <f t="shared" si="263"/>
        <v/>
      </c>
      <c r="P363" s="2" t="str">
        <f t="shared" si="264"/>
        <v/>
      </c>
      <c r="S363" s="2" t="str">
        <f t="shared" si="290"/>
        <v/>
      </c>
      <c r="T363" s="2" t="str">
        <f t="shared" si="291"/>
        <v/>
      </c>
      <c r="AJ363" s="2"/>
      <c r="AW363" s="7"/>
    </row>
    <row r="364" spans="1:49" x14ac:dyDescent="0.25">
      <c r="A364" s="1"/>
      <c r="B364" s="2" t="str">
        <f t="shared" si="257"/>
        <v/>
      </c>
      <c r="D364" s="61">
        <f t="shared" si="288"/>
        <v>8</v>
      </c>
      <c r="F364" s="9" t="s">
        <v>86</v>
      </c>
      <c r="G364" s="10"/>
      <c r="H364" s="10"/>
      <c r="I364" s="9" t="s">
        <v>162</v>
      </c>
      <c r="J364" s="6"/>
      <c r="K364" s="61">
        <f t="shared" si="289"/>
        <v>10</v>
      </c>
      <c r="M364" s="2" t="str">
        <f t="shared" si="287"/>
        <v/>
      </c>
      <c r="O364" s="2" t="str">
        <f t="shared" si="263"/>
        <v/>
      </c>
      <c r="P364" s="2" t="str">
        <f t="shared" si="264"/>
        <v/>
      </c>
      <c r="S364" s="2" t="str">
        <f t="shared" si="290"/>
        <v/>
      </c>
      <c r="T364" s="2" t="str">
        <f t="shared" si="291"/>
        <v/>
      </c>
      <c r="W364" s="18">
        <v>18</v>
      </c>
      <c r="Y364" s="19"/>
      <c r="Z364" s="19" t="s">
        <v>1</v>
      </c>
      <c r="AA364" s="19" t="s">
        <v>2</v>
      </c>
      <c r="AB364" s="19" t="s">
        <v>3</v>
      </c>
      <c r="AC364" s="19" t="s">
        <v>4</v>
      </c>
      <c r="AD364" s="19" t="s">
        <v>5</v>
      </c>
      <c r="AE364" s="19" t="s">
        <v>6</v>
      </c>
      <c r="AF364" s="19" t="s">
        <v>7</v>
      </c>
      <c r="AG364" s="19" t="s">
        <v>8</v>
      </c>
      <c r="AH364" s="19" t="s">
        <v>9</v>
      </c>
      <c r="AI364" s="19" t="s">
        <v>0</v>
      </c>
      <c r="AJ364" s="2"/>
      <c r="AW364" s="7"/>
    </row>
    <row r="365" spans="1:49" x14ac:dyDescent="0.25">
      <c r="A365" s="1"/>
      <c r="F365" s="107"/>
      <c r="G365" s="108"/>
      <c r="H365" s="108"/>
      <c r="I365" s="107"/>
      <c r="J365" s="6"/>
      <c r="O365" s="2" t="str">
        <f t="shared" si="263"/>
        <v/>
      </c>
      <c r="P365" s="2" t="str">
        <f t="shared" si="264"/>
        <v/>
      </c>
      <c r="V365" s="2" t="str">
        <f>CONCATENATE(Z365)</f>
        <v>1. FC Köln</v>
      </c>
      <c r="W365" s="2">
        <f t="shared" ref="W365:W382" si="292">Y365</f>
        <v>13</v>
      </c>
      <c r="Y365" s="19">
        <f>RANK(AI365,$AI$365:$AI$382,0)+COUNTIF($AI$364:AI364,AI365)</f>
        <v>13</v>
      </c>
      <c r="Z365" s="19" t="str">
        <f t="shared" ref="Z365:Z382" si="293">CONCATENATE(Z5)</f>
        <v>1. FC Köln</v>
      </c>
      <c r="AA365" s="19">
        <f>COUNTIFS(F4:F199,Z365,G4:G199,"&gt;=0")+COUNTIFS(I4:I199,Z365,H4:H199,"&gt;=0")</f>
        <v>18</v>
      </c>
      <c r="AB365" s="19">
        <f>COUNTIFS(F4:F199,Z365,B4:B199,3)+COUNTIFS(I4:I199,Z365,M4:M199,3)</f>
        <v>6</v>
      </c>
      <c r="AC365" s="19">
        <f>COUNTIFS(F4:F199,Z365,B4:B199,1)+COUNTIFS(I4:I199,Z365,M4:M199,1)</f>
        <v>2</v>
      </c>
      <c r="AD365" s="19">
        <f>COUNTIFS(F4:F199,Z365,B4:B199,0)+COUNTIFS(I4:I199,Z365,M4:M199,0)</f>
        <v>10</v>
      </c>
      <c r="AE365" s="19">
        <f>SUMIF(F4:F199,Z365,G4:G199)+SUMIF(I4:I199,Z365,H4:H199)</f>
        <v>22</v>
      </c>
      <c r="AF365" s="19">
        <f>SUMIF(F4:F199,Z365,H4:H199)+SUMIF(I4:I199,Z365,G4:G199)</f>
        <v>33</v>
      </c>
      <c r="AG365" s="19">
        <f>+AE365-AF365</f>
        <v>-11</v>
      </c>
      <c r="AH365" s="19">
        <f>(AB365*3)+AC365</f>
        <v>20</v>
      </c>
      <c r="AI365" s="19">
        <f>SUM(AH365*1000+(AG365)/100+(AE365)/1000)</f>
        <v>19999.912</v>
      </c>
      <c r="AJ365" s="2"/>
      <c r="AW365" s="7"/>
    </row>
    <row r="366" spans="1:49" x14ac:dyDescent="0.25">
      <c r="A366" s="1"/>
      <c r="B366" s="2" t="str">
        <f t="shared" si="257"/>
        <v/>
      </c>
      <c r="F366" s="154" t="s">
        <v>73</v>
      </c>
      <c r="G366" s="154"/>
      <c r="H366" s="154"/>
      <c r="I366" s="154"/>
      <c r="J366" s="6"/>
      <c r="O366" s="2" t="str">
        <f t="shared" si="263"/>
        <v/>
      </c>
      <c r="P366" s="2" t="str">
        <f t="shared" si="264"/>
        <v/>
      </c>
      <c r="V366" s="2" t="str">
        <f t="shared" ref="V366:V382" si="294">CONCATENATE(Z366)</f>
        <v>1. FC Union Berlin</v>
      </c>
      <c r="W366" s="2">
        <f t="shared" si="292"/>
        <v>12</v>
      </c>
      <c r="Y366" s="19">
        <f>RANK(AI366,$AI$365:$AI$382,0)+COUNTIF($AI$364:AI365,AI366)</f>
        <v>12</v>
      </c>
      <c r="Z366" s="19" t="str">
        <f t="shared" si="293"/>
        <v>1. FC Union Berlin</v>
      </c>
      <c r="AA366" s="19">
        <f>COUNTIFS(F4:F199,Z366,G4:G199,"&gt;=0")+COUNTIFS(I4:I199,Z366,H4:H199,"&gt;=0")</f>
        <v>18</v>
      </c>
      <c r="AB366" s="19">
        <f>COUNTIFS(F4:F199,Z366,B4:B199,3)+COUNTIFS(I4:I199,Z366,M4:M199,3)</f>
        <v>6</v>
      </c>
      <c r="AC366" s="19">
        <f>COUNTIFS(F4:F199,Z366,B4:B199,1)+COUNTIFS(I4:I199,Z366,M4:M199,1)</f>
        <v>2</v>
      </c>
      <c r="AD366" s="19">
        <f>COUNTIFS(F4:F199,Z366,B4:B199,0)+COUNTIFS(I4:I199,Z366,M4:M199,0)</f>
        <v>10</v>
      </c>
      <c r="AE366" s="19">
        <f>SUMIF(F4:F199,Z366,G4:G199)+SUMIF(I4:I199,Z366,H4:H199)</f>
        <v>21</v>
      </c>
      <c r="AF366" s="19">
        <f>SUMIF(F4:F199,Z366,H4:H199)+SUMIF(I4:I199,Z366,G4:G199)</f>
        <v>27</v>
      </c>
      <c r="AG366" s="19">
        <f>+AE366-AF366</f>
        <v>-6</v>
      </c>
      <c r="AH366" s="19">
        <f>(AB366*3)+AC366</f>
        <v>20</v>
      </c>
      <c r="AI366" s="19">
        <f t="shared" ref="AI366:AI382" si="295">SUM(AH366*1000+(AG366)/100+(AE366)/1000)</f>
        <v>19999.960999999999</v>
      </c>
      <c r="AJ366" s="2"/>
      <c r="AW366" s="7"/>
    </row>
    <row r="367" spans="1:49" x14ac:dyDescent="0.25">
      <c r="A367" s="1"/>
      <c r="B367" s="2" t="str">
        <f t="shared" si="257"/>
        <v/>
      </c>
      <c r="D367" s="61">
        <f t="shared" ref="D367:D375" si="296">IFERROR(VLOOKUP(F367,$V$665:$W$682,2,FALSE),"")</f>
        <v>7</v>
      </c>
      <c r="F367" s="9" t="s">
        <v>85</v>
      </c>
      <c r="G367" s="10"/>
      <c r="H367" s="10"/>
      <c r="I367" s="9" t="s">
        <v>79</v>
      </c>
      <c r="J367" s="6"/>
      <c r="K367" s="61">
        <f t="shared" ref="K367:K375" si="297">IFERROR(VLOOKUP(I367,$V$665:$W$682,2,FALSE),"")</f>
        <v>1</v>
      </c>
      <c r="M367" s="2" t="str">
        <f t="shared" ref="M367:M375" si="298">IF(H367="","",IF(H367&gt;G367,3,IF(H367=G367,1,0)))</f>
        <v/>
      </c>
      <c r="O367" s="2" t="str">
        <f t="shared" si="263"/>
        <v/>
      </c>
      <c r="P367" s="2" t="str">
        <f t="shared" si="264"/>
        <v/>
      </c>
      <c r="S367" s="2" t="str">
        <f t="shared" ref="S367:S375" si="299">IF(M367&lt;&gt;"",F367&amp;I367,"")</f>
        <v/>
      </c>
      <c r="T367" s="2" t="str">
        <f t="shared" ref="T367:T375" si="300">IF(S367&lt;&gt;"",G367&amp;"-"&amp;H367,"")</f>
        <v/>
      </c>
      <c r="V367" s="2" t="str">
        <f t="shared" si="294"/>
        <v>1. FSV Mainz 05</v>
      </c>
      <c r="W367" s="2">
        <f t="shared" si="292"/>
        <v>15</v>
      </c>
      <c r="Y367" s="19">
        <f>RANK(AI367,$AI$365:$AI$382,0)+COUNTIF($AI$364:AI366,AI367)</f>
        <v>15</v>
      </c>
      <c r="Z367" s="19" t="str">
        <f t="shared" si="293"/>
        <v>1. FSV Mainz 05</v>
      </c>
      <c r="AA367" s="19">
        <f>COUNTIFS(F4:F199,Z367,G4:G199,"&gt;=0")+COUNTIFS(I4:I199,Z367,H4:H199,"&gt;=0")</f>
        <v>18</v>
      </c>
      <c r="AB367" s="19">
        <f>COUNTIFS(F4:F199,Z367,B4:B199,3)+COUNTIFS(I4:I199,Z367,M4:M199,3)</f>
        <v>6</v>
      </c>
      <c r="AC367" s="19">
        <f>COUNTIFS(F4:F199,Z367,B4:B199,1)+COUNTIFS(I4:I199,Z367,M4:M199,1)</f>
        <v>0</v>
      </c>
      <c r="AD367" s="19">
        <f>COUNTIFS(F4:F199,Z367,B4:B199,0)+COUNTIFS(I4:I199,Z367,M4:M199,0)</f>
        <v>12</v>
      </c>
      <c r="AE367" s="19">
        <f>SUMIF(F4:F199,Z367,G4:G199)+SUMIF(I4:I199,Z367,H4:H199)</f>
        <v>26</v>
      </c>
      <c r="AF367" s="19">
        <f>SUMIF(F4:F199,Z367,H4:H199)+SUMIF(I4:I199,Z367,G4:G199)</f>
        <v>41</v>
      </c>
      <c r="AG367" s="19">
        <f>+AE367-AF367</f>
        <v>-15</v>
      </c>
      <c r="AH367" s="19">
        <f>(AB367*3)+AC367</f>
        <v>18</v>
      </c>
      <c r="AI367" s="19">
        <f t="shared" si="295"/>
        <v>17999.876</v>
      </c>
      <c r="AJ367" s="2"/>
      <c r="AW367" s="7"/>
    </row>
    <row r="368" spans="1:49" x14ac:dyDescent="0.25">
      <c r="A368" s="1"/>
      <c r="B368" s="2" t="str">
        <f t="shared" si="257"/>
        <v/>
      </c>
      <c r="D368" s="61">
        <f t="shared" si="296"/>
        <v>13</v>
      </c>
      <c r="F368" s="9" t="s">
        <v>92</v>
      </c>
      <c r="G368" s="10"/>
      <c r="H368" s="10"/>
      <c r="I368" s="9" t="s">
        <v>81</v>
      </c>
      <c r="J368" s="6"/>
      <c r="K368" s="61">
        <f t="shared" si="297"/>
        <v>2</v>
      </c>
      <c r="M368" s="2" t="str">
        <f t="shared" si="298"/>
        <v/>
      </c>
      <c r="O368" s="2" t="str">
        <f t="shared" si="263"/>
        <v/>
      </c>
      <c r="P368" s="2" t="str">
        <f t="shared" si="264"/>
        <v/>
      </c>
      <c r="S368" s="2" t="str">
        <f t="shared" si="299"/>
        <v/>
      </c>
      <c r="T368" s="2" t="str">
        <f t="shared" si="300"/>
        <v/>
      </c>
      <c r="V368" s="2" t="str">
        <f t="shared" si="294"/>
        <v>1899 Hoffenheim</v>
      </c>
      <c r="W368" s="2">
        <f t="shared" si="292"/>
        <v>8</v>
      </c>
      <c r="Y368" s="19">
        <f>RANK(AI368,$AI$365:$AI$382,0)+COUNTIF($AI$364:AI367,AI368)</f>
        <v>8</v>
      </c>
      <c r="Z368" s="19" t="str">
        <f t="shared" si="293"/>
        <v>1899 Hoffenheim</v>
      </c>
      <c r="AA368" s="19">
        <f>COUNTIFS(F4:F199,Z368,G4:G199,"&gt;=0")+COUNTIFS(I4:I199,Z368,H4:H199,"&gt;=0")</f>
        <v>18</v>
      </c>
      <c r="AB368" s="19">
        <f>COUNTIFS(F4:F199,Z368,B4:B199,3)+COUNTIFS(I4:I199,Z368,M4:M199,3)</f>
        <v>8</v>
      </c>
      <c r="AC368" s="19">
        <f>COUNTIFS(F4:F199,Z368,B4:B199,1)+COUNTIFS(I4:I199,Z368,M4:M199,1)</f>
        <v>3</v>
      </c>
      <c r="AD368" s="19">
        <f>COUNTIFS(F4:F199,Z368,B4:B199,0)+COUNTIFS(I4:I199,Z368,M4:M199,0)</f>
        <v>7</v>
      </c>
      <c r="AE368" s="19">
        <f>SUMIF(F4:F199,Z368,G4:G199)+SUMIF(I4:I199,Z368,H4:H199)</f>
        <v>26</v>
      </c>
      <c r="AF368" s="19">
        <f>SUMIF(F4:F199,Z368,H4:H199)+SUMIF(I4:I199,Z368,G4:G199)</f>
        <v>30</v>
      </c>
      <c r="AG368" s="19">
        <f t="shared" ref="AG368:AG382" si="301">+AE368-AF368</f>
        <v>-4</v>
      </c>
      <c r="AH368" s="19">
        <f>(AB368*3)+AC368</f>
        <v>27</v>
      </c>
      <c r="AI368" s="19">
        <f t="shared" si="295"/>
        <v>26999.986000000001</v>
      </c>
      <c r="AJ368" s="2"/>
      <c r="AW368" s="7"/>
    </row>
    <row r="369" spans="1:49" x14ac:dyDescent="0.25">
      <c r="A369" s="1"/>
      <c r="B369" s="2" t="str">
        <f t="shared" si="257"/>
        <v/>
      </c>
      <c r="D369" s="61">
        <f t="shared" si="296"/>
        <v>3</v>
      </c>
      <c r="F369" s="9" t="s">
        <v>80</v>
      </c>
      <c r="G369" s="10"/>
      <c r="H369" s="10"/>
      <c r="I369" s="9" t="s">
        <v>86</v>
      </c>
      <c r="J369" s="6"/>
      <c r="K369" s="61">
        <f t="shared" si="297"/>
        <v>8</v>
      </c>
      <c r="M369" s="2" t="str">
        <f t="shared" si="298"/>
        <v/>
      </c>
      <c r="O369" s="2" t="str">
        <f t="shared" si="263"/>
        <v/>
      </c>
      <c r="P369" s="2" t="str">
        <f t="shared" si="264"/>
        <v/>
      </c>
      <c r="S369" s="2" t="str">
        <f t="shared" si="299"/>
        <v/>
      </c>
      <c r="T369" s="2" t="str">
        <f t="shared" si="300"/>
        <v/>
      </c>
      <c r="V369" s="2" t="str">
        <f t="shared" si="294"/>
        <v>Bayer Leverkusen</v>
      </c>
      <c r="W369" s="2">
        <f t="shared" si="292"/>
        <v>6</v>
      </c>
      <c r="Y369" s="19">
        <f>RANK(AI369,$AI$365:$AI$382,0)+COUNTIF($AI$364:AI368,AI369)</f>
        <v>6</v>
      </c>
      <c r="Z369" s="19" t="str">
        <f t="shared" si="293"/>
        <v>Bayer Leverkusen</v>
      </c>
      <c r="AA369" s="19">
        <f>COUNTIFS(F4:F199,Z369,G4:G199,"&gt;=0")+COUNTIFS(I4:I199,Z369,H4:H199,"&gt;=0")</f>
        <v>18</v>
      </c>
      <c r="AB369" s="19">
        <f>COUNTIFS(F4:F199,Z369,B4:B199,3)+COUNTIFS(I4:I199,Z369,M4:M199,3)</f>
        <v>9</v>
      </c>
      <c r="AC369" s="19">
        <f>COUNTIFS(F4:F199,Z369,B4:B199,1)+COUNTIFS(I4:I199,Z369,M4:M199,1)</f>
        <v>4</v>
      </c>
      <c r="AD369" s="19">
        <f>COUNTIFS(F4:F199,Z369,B4:B199,0)+COUNTIFS(I4:I199,Z369,M4:M199,0)</f>
        <v>5</v>
      </c>
      <c r="AE369" s="19">
        <f>SUMIF(F4:F199,Z369,G4:G199)+SUMIF(I4:I199,Z369,H4:H199)</f>
        <v>27</v>
      </c>
      <c r="AF369" s="19">
        <f>SUMIF(F4:F199,Z369,H4:H199)+SUMIF(I4:I199,Z369,G4:G199)</f>
        <v>22</v>
      </c>
      <c r="AG369" s="19">
        <f t="shared" si="301"/>
        <v>5</v>
      </c>
      <c r="AH369" s="19">
        <f>(AB369*3)+AC369</f>
        <v>31</v>
      </c>
      <c r="AI369" s="19">
        <f t="shared" si="295"/>
        <v>31000.076999999997</v>
      </c>
      <c r="AJ369" s="2"/>
      <c r="AW369" s="7"/>
    </row>
    <row r="370" spans="1:49" x14ac:dyDescent="0.25">
      <c r="A370" s="1"/>
      <c r="B370" s="2" t="str">
        <f t="shared" si="257"/>
        <v/>
      </c>
      <c r="D370" s="61">
        <f t="shared" si="296"/>
        <v>10</v>
      </c>
      <c r="F370" s="9" t="s">
        <v>162</v>
      </c>
      <c r="G370" s="10"/>
      <c r="H370" s="10"/>
      <c r="I370" s="9" t="s">
        <v>89</v>
      </c>
      <c r="J370" s="6"/>
      <c r="K370" s="61">
        <f t="shared" si="297"/>
        <v>16</v>
      </c>
      <c r="M370" s="2" t="str">
        <f t="shared" si="298"/>
        <v/>
      </c>
      <c r="O370" s="2" t="str">
        <f t="shared" si="263"/>
        <v/>
      </c>
      <c r="P370" s="2" t="str">
        <f t="shared" si="264"/>
        <v/>
      </c>
      <c r="S370" s="2" t="str">
        <f t="shared" si="299"/>
        <v/>
      </c>
      <c r="T370" s="2" t="str">
        <f t="shared" si="300"/>
        <v/>
      </c>
      <c r="V370" s="2" t="str">
        <f t="shared" si="294"/>
        <v>Bayern München</v>
      </c>
      <c r="W370" s="2">
        <f t="shared" si="292"/>
        <v>2</v>
      </c>
      <c r="Y370" s="19">
        <f>RANK(AI370,$AI$365:$AI$382,0)+COUNTIF($AI$364:AI369,AI370)</f>
        <v>2</v>
      </c>
      <c r="Z370" s="19" t="str">
        <f t="shared" si="293"/>
        <v>Bayern München</v>
      </c>
      <c r="AA370" s="19">
        <f>COUNTIFS(F4:F199,Z370,G4:G199,"&gt;=0")+COUNTIFS(I4:I199,Z370,H4:H199,"&gt;=0")</f>
        <v>18</v>
      </c>
      <c r="AB370" s="19">
        <f>COUNTIFS(F4:F199,Z370,B4:B199,3)+COUNTIFS(I4:I199,Z370,M4:M199,3)</f>
        <v>11</v>
      </c>
      <c r="AC370" s="19">
        <f>COUNTIFS(F4:F199,Z370,B4:B199,1)+COUNTIFS(I4:I199,Z370,M4:M199,1)</f>
        <v>3</v>
      </c>
      <c r="AD370" s="19">
        <f>COUNTIFS(F4:F199,Z370,B4:B199,0)+COUNTIFS(I4:I199,Z370,M4:M199,0)</f>
        <v>4</v>
      </c>
      <c r="AE370" s="19">
        <f>SUMIF(F4:F199,Z370,G4:G199)+SUMIF(I4:I199,Z370,H4:H199)</f>
        <v>50</v>
      </c>
      <c r="AF370" s="19">
        <f>SUMIF(F4:F199,Z370,H4:H199)+SUMIF(I4:I199,Z370,G4:G199)</f>
        <v>22</v>
      </c>
      <c r="AG370" s="19">
        <f t="shared" si="301"/>
        <v>28</v>
      </c>
      <c r="AH370" s="19">
        <f t="shared" ref="AH370:AH382" si="302">(AB370*3)+AC370</f>
        <v>36</v>
      </c>
      <c r="AI370" s="19">
        <f t="shared" si="295"/>
        <v>36000.33</v>
      </c>
      <c r="AJ370" s="2"/>
      <c r="AW370" s="7"/>
    </row>
    <row r="371" spans="1:49" x14ac:dyDescent="0.25">
      <c r="A371" s="1"/>
      <c r="B371" s="2" t="str">
        <f t="shared" si="257"/>
        <v/>
      </c>
      <c r="D371" s="61">
        <f t="shared" si="296"/>
        <v>4</v>
      </c>
      <c r="F371" s="9" t="s">
        <v>82</v>
      </c>
      <c r="G371" s="10"/>
      <c r="H371" s="10"/>
      <c r="I371" s="9" t="s">
        <v>88</v>
      </c>
      <c r="J371" s="6"/>
      <c r="K371" s="61">
        <f t="shared" si="297"/>
        <v>14</v>
      </c>
      <c r="M371" s="2" t="str">
        <f t="shared" si="298"/>
        <v/>
      </c>
      <c r="O371" s="2" t="str">
        <f t="shared" si="263"/>
        <v/>
      </c>
      <c r="P371" s="2" t="str">
        <f t="shared" si="264"/>
        <v/>
      </c>
      <c r="S371" s="2" t="str">
        <f t="shared" si="299"/>
        <v/>
      </c>
      <c r="T371" s="2" t="str">
        <f t="shared" si="300"/>
        <v/>
      </c>
      <c r="V371" s="2" t="str">
        <f t="shared" si="294"/>
        <v>Bor. Mönchengladbach</v>
      </c>
      <c r="W371" s="2">
        <f t="shared" si="292"/>
        <v>3</v>
      </c>
      <c r="Y371" s="19">
        <f>RANK(AI371,$AI$365:$AI$382,0)+COUNTIF($AI$364:AI370,AI371)</f>
        <v>3</v>
      </c>
      <c r="Z371" s="19" t="str">
        <f t="shared" si="293"/>
        <v>Bor. Mönchengladbach</v>
      </c>
      <c r="AA371" s="19">
        <f>COUNTIFS(F4:F199,Z371,G4:G199,"&gt;=0")+COUNTIFS(I4:I199,Z371,H4:H199,"&gt;=0")</f>
        <v>18</v>
      </c>
      <c r="AB371" s="19">
        <f>COUNTIFS(F4:F199,Z371,B4:B199,3)+COUNTIFS(I4:I199,Z371,M4:M199,3)</f>
        <v>11</v>
      </c>
      <c r="AC371" s="19">
        <f>COUNTIFS(F4:F199,Z371,B4:B199,1)+COUNTIFS(I4:I199,Z371,M4:M199,1)</f>
        <v>2</v>
      </c>
      <c r="AD371" s="19">
        <f>COUNTIFS(F4:F199,Z371,B4:B199,0)+COUNTIFS(I4:I199,Z371,M4:M199,0)</f>
        <v>5</v>
      </c>
      <c r="AE371" s="19">
        <f>SUMIF(F4:F199,Z371,G4:G199)+SUMIF(I4:I199,Z371,H4:H199)</f>
        <v>33</v>
      </c>
      <c r="AF371" s="19">
        <f>SUMIF(F4:F199,Z371,H4:H199)+SUMIF(I4:I199,Z371,G4:G199)</f>
        <v>20</v>
      </c>
      <c r="AG371" s="19">
        <f t="shared" si="301"/>
        <v>13</v>
      </c>
      <c r="AH371" s="19">
        <f t="shared" si="302"/>
        <v>35</v>
      </c>
      <c r="AI371" s="19">
        <f t="shared" si="295"/>
        <v>35000.163</v>
      </c>
      <c r="AJ371" s="2"/>
      <c r="AW371" s="7"/>
    </row>
    <row r="372" spans="1:49" x14ac:dyDescent="0.25">
      <c r="A372" s="1"/>
      <c r="B372" s="2" t="str">
        <f t="shared" si="257"/>
        <v/>
      </c>
      <c r="D372" s="61">
        <f t="shared" si="296"/>
        <v>5</v>
      </c>
      <c r="F372" s="9" t="s">
        <v>83</v>
      </c>
      <c r="G372" s="10"/>
      <c r="H372" s="10"/>
      <c r="I372" s="9" t="s">
        <v>90</v>
      </c>
      <c r="J372" s="6"/>
      <c r="K372" s="61">
        <f t="shared" si="297"/>
        <v>15</v>
      </c>
      <c r="M372" s="2" t="str">
        <f t="shared" si="298"/>
        <v/>
      </c>
      <c r="O372" s="2" t="str">
        <f t="shared" si="263"/>
        <v/>
      </c>
      <c r="P372" s="2" t="str">
        <f t="shared" si="264"/>
        <v/>
      </c>
      <c r="S372" s="2" t="str">
        <f t="shared" si="299"/>
        <v/>
      </c>
      <c r="T372" s="2" t="str">
        <f t="shared" si="300"/>
        <v/>
      </c>
      <c r="V372" s="2" t="str">
        <f t="shared" si="294"/>
        <v>Borussia Dortmund</v>
      </c>
      <c r="W372" s="2">
        <f t="shared" si="292"/>
        <v>4</v>
      </c>
      <c r="Y372" s="19">
        <f>RANK(AI372,$AI$365:$AI$382,0)+COUNTIF($AI$364:AI371,AI372)</f>
        <v>4</v>
      </c>
      <c r="Z372" s="19" t="str">
        <f t="shared" si="293"/>
        <v>Borussia Dortmund</v>
      </c>
      <c r="AA372" s="19">
        <f>COUNTIFS(F4:F199,Z372,G4:G199,"&gt;=0")+COUNTIFS(I4:I199,Z372,H4:H199,"&gt;=0")</f>
        <v>18</v>
      </c>
      <c r="AB372" s="19">
        <f>COUNTIFS(F4:F199,Z372,B4:B199,3)+COUNTIFS(I4:I199,Z372,M4:M199,3)</f>
        <v>9</v>
      </c>
      <c r="AC372" s="19">
        <f>COUNTIFS(F4:F199,Z372,B4:B199,1)+COUNTIFS(I4:I199,Z372,M4:M199,1)</f>
        <v>6</v>
      </c>
      <c r="AD372" s="19">
        <f>COUNTIFS(F4:F199,Z372,B4:B199,0)+COUNTIFS(I4:I199,Z372,M4:M199,0)</f>
        <v>3</v>
      </c>
      <c r="AE372" s="19">
        <f>SUMIF(F4:F199,Z372,G4:G199)+SUMIF(I4:I199,Z372,H4:H199)</f>
        <v>46</v>
      </c>
      <c r="AF372" s="19">
        <f>SUMIF(F4:F199,Z372,H4:H199)+SUMIF(I4:I199,Z372,G4:G199)</f>
        <v>27</v>
      </c>
      <c r="AG372" s="19">
        <f t="shared" si="301"/>
        <v>19</v>
      </c>
      <c r="AH372" s="19">
        <f t="shared" si="302"/>
        <v>33</v>
      </c>
      <c r="AI372" s="19">
        <f t="shared" si="295"/>
        <v>33000.236000000004</v>
      </c>
      <c r="AJ372" s="2"/>
      <c r="AW372" s="7"/>
    </row>
    <row r="373" spans="1:49" x14ac:dyDescent="0.25">
      <c r="A373" s="1"/>
      <c r="B373" s="2" t="str">
        <f t="shared" si="257"/>
        <v/>
      </c>
      <c r="D373" s="61">
        <f t="shared" si="296"/>
        <v>9</v>
      </c>
      <c r="F373" s="9" t="s">
        <v>91</v>
      </c>
      <c r="G373" s="10"/>
      <c r="H373" s="10"/>
      <c r="I373" s="9" t="s">
        <v>93</v>
      </c>
      <c r="J373" s="6"/>
      <c r="K373" s="61">
        <f t="shared" si="297"/>
        <v>6</v>
      </c>
      <c r="M373" s="2" t="str">
        <f t="shared" si="298"/>
        <v/>
      </c>
      <c r="O373" s="2" t="str">
        <f t="shared" si="263"/>
        <v/>
      </c>
      <c r="P373" s="2" t="str">
        <f t="shared" si="264"/>
        <v/>
      </c>
      <c r="S373" s="2" t="str">
        <f t="shared" si="299"/>
        <v/>
      </c>
      <c r="T373" s="2" t="str">
        <f t="shared" si="300"/>
        <v/>
      </c>
      <c r="V373" s="2" t="str">
        <f t="shared" si="294"/>
        <v>Eintracht Frankfurt</v>
      </c>
      <c r="W373" s="2">
        <f t="shared" si="292"/>
        <v>11</v>
      </c>
      <c r="Y373" s="19">
        <f>RANK(AI373,$AI$365:$AI$382,0)+COUNTIF($AI$364:AI372,AI373)</f>
        <v>11</v>
      </c>
      <c r="Z373" s="19" t="str">
        <f t="shared" si="293"/>
        <v>Eintracht Frankfurt</v>
      </c>
      <c r="AA373" s="19">
        <f>COUNTIFS(F4:F199,Z373,G4:G199,"&gt;=0")+COUNTIFS(I4:I199,Z373,H4:H199,"&gt;=0")</f>
        <v>18</v>
      </c>
      <c r="AB373" s="19">
        <f>COUNTIFS(F4:F199,Z373,B4:B199,3)+COUNTIFS(I4:I199,Z373,M4:M199,3)</f>
        <v>6</v>
      </c>
      <c r="AC373" s="19">
        <f>COUNTIFS(F4:F199,Z373,B4:B199,1)+COUNTIFS(I4:I199,Z373,M4:M199,1)</f>
        <v>3</v>
      </c>
      <c r="AD373" s="19">
        <f>COUNTIFS(F4:F199,Z373,B4:B199,0)+COUNTIFS(I4:I199,Z373,M4:M199,0)</f>
        <v>9</v>
      </c>
      <c r="AE373" s="19">
        <f>SUMIF(F4:F199,Z373,G4:G199)+SUMIF(I4:I199,Z373,H4:H199)</f>
        <v>29</v>
      </c>
      <c r="AF373" s="19">
        <f>SUMIF(F4:F199,Z373,H4:H199)+SUMIF(I4:I199,Z373,G4:G199)</f>
        <v>30</v>
      </c>
      <c r="AG373" s="19">
        <f t="shared" si="301"/>
        <v>-1</v>
      </c>
      <c r="AH373" s="19">
        <f t="shared" si="302"/>
        <v>21</v>
      </c>
      <c r="AI373" s="19">
        <f t="shared" si="295"/>
        <v>21000.019</v>
      </c>
      <c r="AJ373" s="2"/>
      <c r="AW373" s="7"/>
    </row>
    <row r="374" spans="1:49" x14ac:dyDescent="0.25">
      <c r="A374" s="1"/>
      <c r="B374" s="2" t="str">
        <f t="shared" si="257"/>
        <v/>
      </c>
      <c r="D374" s="61">
        <f t="shared" si="296"/>
        <v>17</v>
      </c>
      <c r="F374" s="9" t="s">
        <v>87</v>
      </c>
      <c r="G374" s="10"/>
      <c r="H374" s="10"/>
      <c r="I374" s="9" t="s">
        <v>161</v>
      </c>
      <c r="J374" s="6"/>
      <c r="K374" s="61">
        <f t="shared" si="297"/>
        <v>11</v>
      </c>
      <c r="M374" s="2" t="str">
        <f t="shared" si="298"/>
        <v/>
      </c>
      <c r="O374" s="2" t="str">
        <f t="shared" si="263"/>
        <v/>
      </c>
      <c r="P374" s="2" t="str">
        <f t="shared" si="264"/>
        <v/>
      </c>
      <c r="S374" s="2" t="str">
        <f t="shared" si="299"/>
        <v/>
      </c>
      <c r="T374" s="2" t="str">
        <f t="shared" si="300"/>
        <v/>
      </c>
      <c r="V374" s="2" t="str">
        <f t="shared" si="294"/>
        <v>FC Augsburg</v>
      </c>
      <c r="W374" s="2">
        <f t="shared" si="292"/>
        <v>10</v>
      </c>
      <c r="Y374" s="19">
        <f>RANK(AI374,$AI$365:$AI$382,0)+COUNTIF($AI$364:AI373,AI374)</f>
        <v>10</v>
      </c>
      <c r="Z374" s="19" t="str">
        <f t="shared" si="293"/>
        <v>FC Augsburg</v>
      </c>
      <c r="AA374" s="19">
        <f>COUNTIFS(F4:F199,Z374,G4:G199,"&gt;=0")+COUNTIFS(I4:I199,Z374,H4:H199,"&gt;=0")</f>
        <v>18</v>
      </c>
      <c r="AB374" s="19">
        <f>COUNTIFS(F4:F199,Z374,B4:B199,3)+COUNTIFS(I4:I199,Z374,M4:M199,3)</f>
        <v>6</v>
      </c>
      <c r="AC374" s="19">
        <f>COUNTIFS(F4:F199,Z374,B4:B199,1)+COUNTIFS(I4:I199,Z374,M4:M199,1)</f>
        <v>5</v>
      </c>
      <c r="AD374" s="19">
        <f>COUNTIFS(F4:F199,Z374,B4:B199,0)+COUNTIFS(I4:I199,Z374,M4:M199,0)</f>
        <v>7</v>
      </c>
      <c r="AE374" s="19">
        <f>SUMIF(F4:F199,Z374,G4:G199)+SUMIF(I4:I199,Z374,H4:H199)</f>
        <v>31</v>
      </c>
      <c r="AF374" s="19">
        <f>SUMIF(F4:F199,Z374,H4:H199)+SUMIF(I4:I199,Z374,G4:G199)</f>
        <v>36</v>
      </c>
      <c r="AG374" s="19">
        <f t="shared" si="301"/>
        <v>-5</v>
      </c>
      <c r="AH374" s="19">
        <f t="shared" si="302"/>
        <v>23</v>
      </c>
      <c r="AI374" s="19">
        <f t="shared" si="295"/>
        <v>22999.981</v>
      </c>
      <c r="AJ374" s="2"/>
      <c r="AW374" s="7"/>
    </row>
    <row r="375" spans="1:49" x14ac:dyDescent="0.25">
      <c r="A375" s="1"/>
      <c r="B375" s="2" t="str">
        <f t="shared" si="257"/>
        <v/>
      </c>
      <c r="D375" s="61">
        <f t="shared" si="296"/>
        <v>12</v>
      </c>
      <c r="F375" s="9" t="s">
        <v>84</v>
      </c>
      <c r="G375" s="10"/>
      <c r="H375" s="10"/>
      <c r="I375" s="9" t="s">
        <v>148</v>
      </c>
      <c r="J375" s="6"/>
      <c r="K375" s="61">
        <f t="shared" si="297"/>
        <v>18</v>
      </c>
      <c r="M375" s="2" t="str">
        <f t="shared" si="298"/>
        <v/>
      </c>
      <c r="O375" s="2" t="str">
        <f t="shared" si="263"/>
        <v/>
      </c>
      <c r="P375" s="2" t="str">
        <f t="shared" si="264"/>
        <v/>
      </c>
      <c r="S375" s="2" t="str">
        <f t="shared" si="299"/>
        <v/>
      </c>
      <c r="T375" s="2" t="str">
        <f t="shared" si="300"/>
        <v/>
      </c>
      <c r="V375" s="2" t="str">
        <f t="shared" si="294"/>
        <v>FC Schalke 04</v>
      </c>
      <c r="W375" s="2">
        <f t="shared" si="292"/>
        <v>5</v>
      </c>
      <c r="Y375" s="19">
        <f>RANK(AI375,$AI$365:$AI$382,0)+COUNTIF($AI$364:AI374,AI375)</f>
        <v>5</v>
      </c>
      <c r="Z375" s="19" t="str">
        <f t="shared" si="293"/>
        <v>FC Schalke 04</v>
      </c>
      <c r="AA375" s="19">
        <f>COUNTIFS(F4:F199,Z375,G4:G199,"&gt;=0")+COUNTIFS(I4:I199,Z375,H4:H199,"&gt;=0")</f>
        <v>18</v>
      </c>
      <c r="AB375" s="19">
        <f>COUNTIFS(F4:F199,Z375,B4:B199,3)+COUNTIFS(I4:I199,Z375,M4:M199,3)</f>
        <v>9</v>
      </c>
      <c r="AC375" s="19">
        <f>COUNTIFS(F4:F199,Z375,B4:B199,1)+COUNTIFS(I4:I199,Z375,M4:M199,1)</f>
        <v>6</v>
      </c>
      <c r="AD375" s="19">
        <f>COUNTIFS(F4:F199,Z375,B4:B199,0)+COUNTIFS(I4:I199,Z375,M4:M199,0)</f>
        <v>3</v>
      </c>
      <c r="AE375" s="19">
        <f>SUMIF(F4:F199,Z375,G4:G199)+SUMIF(I4:I199,Z375,H4:H199)</f>
        <v>31</v>
      </c>
      <c r="AF375" s="19">
        <f>SUMIF(F4:F199,Z375,H4:H199)+SUMIF(I4:I199,Z375,G4:G199)</f>
        <v>21</v>
      </c>
      <c r="AG375" s="19">
        <f t="shared" si="301"/>
        <v>10</v>
      </c>
      <c r="AH375" s="19">
        <f t="shared" si="302"/>
        <v>33</v>
      </c>
      <c r="AI375" s="19">
        <f t="shared" si="295"/>
        <v>33000.131000000001</v>
      </c>
      <c r="AJ375" s="2"/>
      <c r="AW375" s="7"/>
    </row>
    <row r="376" spans="1:49" x14ac:dyDescent="0.25">
      <c r="A376" s="1"/>
      <c r="F376" s="6"/>
      <c r="G376" s="14"/>
      <c r="H376" s="14"/>
      <c r="I376" s="6"/>
      <c r="J376" s="6"/>
      <c r="V376" s="2" t="str">
        <f t="shared" si="294"/>
        <v>Fortuna Düsseldorf</v>
      </c>
      <c r="W376" s="2">
        <f t="shared" si="292"/>
        <v>17</v>
      </c>
      <c r="Y376" s="19">
        <f>RANK(AI376,$AI$365:$AI$382,0)+COUNTIF($AI$364:AI375,AI376)</f>
        <v>17</v>
      </c>
      <c r="Z376" s="19" t="str">
        <f t="shared" si="293"/>
        <v>Fortuna Düsseldorf</v>
      </c>
      <c r="AA376" s="19">
        <f>COUNTIFS(F4:F199,Z376,G4:G199,"&gt;=0")+COUNTIFS(I4:I199,Z376,H4:H199,"&gt;=0")</f>
        <v>18</v>
      </c>
      <c r="AB376" s="19">
        <f>COUNTIFS(F4:F199,Z376,B4:B199,3)+COUNTIFS(I4:I199,Z376,M4:M199,3)</f>
        <v>4</v>
      </c>
      <c r="AC376" s="19">
        <f>COUNTIFS(F4:F199,Z376,B4:B199,1)+COUNTIFS(I4:I199,Z376,M4:M199,1)</f>
        <v>3</v>
      </c>
      <c r="AD376" s="19">
        <f>COUNTIFS(F4:F199,Z376,B4:B199,0)+COUNTIFS(I4:I199,Z376,M4:M199,0)</f>
        <v>11</v>
      </c>
      <c r="AE376" s="19">
        <f>SUMIF(F4:F199,Z376,G4:G199)+SUMIF(I4:I199,Z376,H4:H199)</f>
        <v>18</v>
      </c>
      <c r="AF376" s="19">
        <f>SUMIF(F4:F199,Z376,H4:H199)+SUMIF(I4:I199,Z376,G4:G199)</f>
        <v>37</v>
      </c>
      <c r="AG376" s="19">
        <f t="shared" si="301"/>
        <v>-19</v>
      </c>
      <c r="AH376" s="19">
        <f t="shared" si="302"/>
        <v>15</v>
      </c>
      <c r="AI376" s="19">
        <f t="shared" si="295"/>
        <v>14999.828</v>
      </c>
      <c r="AJ376" s="2"/>
      <c r="AW376" s="7"/>
    </row>
    <row r="377" spans="1:49" x14ac:dyDescent="0.25">
      <c r="A377" s="1"/>
      <c r="B377" s="6"/>
      <c r="C377" s="6"/>
      <c r="D377" s="63"/>
      <c r="E377" s="6"/>
      <c r="F377" s="156"/>
      <c r="G377" s="156"/>
      <c r="H377" s="156"/>
      <c r="I377" s="156"/>
      <c r="J377" s="6"/>
      <c r="K377" s="63"/>
      <c r="L377" s="6"/>
      <c r="M377" s="6"/>
      <c r="N377" s="6"/>
      <c r="O377" s="6"/>
      <c r="P377" s="6"/>
      <c r="Q377" s="6"/>
      <c r="R377" s="6"/>
      <c r="S377" s="6"/>
      <c r="T377" s="6"/>
      <c r="V377" s="2" t="str">
        <f t="shared" si="294"/>
        <v>Hertha BSC</v>
      </c>
      <c r="W377" s="2">
        <f t="shared" si="292"/>
        <v>14</v>
      </c>
      <c r="Y377" s="19">
        <f>RANK(AI377,$AI$365:$AI$382,0)+COUNTIF($AI$364:AI376,AI377)</f>
        <v>14</v>
      </c>
      <c r="Z377" s="19" t="str">
        <f t="shared" si="293"/>
        <v>Hertha BSC</v>
      </c>
      <c r="AA377" s="19">
        <f>COUNTIFS(F4:F199,Z377,G4:G199,"&gt;=0")+COUNTIFS(I4:I199,Z377,H4:H199,"&gt;=0")</f>
        <v>18</v>
      </c>
      <c r="AB377" s="19">
        <f>COUNTIFS(F4:F199,Z377,B4:B199,3)+COUNTIFS(I4:I199,Z377,M4:M199,3)</f>
        <v>5</v>
      </c>
      <c r="AC377" s="19">
        <f>COUNTIFS(F4:F199,Z377,B4:B199,1)+COUNTIFS(I4:I199,Z377,M4:M199,1)</f>
        <v>4</v>
      </c>
      <c r="AD377" s="19">
        <f>COUNTIFS(F4:F199,Z377,B4:B199,0)+COUNTIFS(I4:I199,Z377,M4:M199,0)</f>
        <v>9</v>
      </c>
      <c r="AE377" s="19">
        <f>SUMIF(F4:F199,Z377,G4:G199)+SUMIF(I4:I199,Z377,H4:H199)</f>
        <v>22</v>
      </c>
      <c r="AF377" s="19">
        <f>SUMIF(F4:F199,Z377,H4:H199)+SUMIF(I4:I199,Z377,G4:G199)</f>
        <v>33</v>
      </c>
      <c r="AG377" s="19">
        <f t="shared" si="301"/>
        <v>-11</v>
      </c>
      <c r="AH377" s="19">
        <f t="shared" si="302"/>
        <v>19</v>
      </c>
      <c r="AI377" s="19">
        <f t="shared" si="295"/>
        <v>18999.912</v>
      </c>
      <c r="AW377" s="7"/>
    </row>
    <row r="378" spans="1:49" x14ac:dyDescent="0.25">
      <c r="A378" s="1"/>
      <c r="B378" s="6"/>
      <c r="C378" s="6"/>
      <c r="D378" s="63"/>
      <c r="E378" s="6"/>
      <c r="F378" s="6"/>
      <c r="G378" s="14"/>
      <c r="H378" s="14"/>
      <c r="I378" s="6"/>
      <c r="J378" s="6"/>
      <c r="K378" s="63"/>
      <c r="L378" s="6"/>
      <c r="M378" s="6"/>
      <c r="N378" s="6"/>
      <c r="O378" s="6"/>
      <c r="P378" s="6"/>
      <c r="Q378" s="6"/>
      <c r="R378" s="6"/>
      <c r="S378" s="6"/>
      <c r="T378" s="6"/>
      <c r="V378" s="2" t="str">
        <f t="shared" si="294"/>
        <v>RB Leipzig</v>
      </c>
      <c r="W378" s="2">
        <f t="shared" si="292"/>
        <v>1</v>
      </c>
      <c r="Y378" s="19">
        <f>RANK(AI378,$AI$365:$AI$382,0)+COUNTIF($AI$364:AI377,AI378)</f>
        <v>1</v>
      </c>
      <c r="Z378" s="19" t="str">
        <f t="shared" si="293"/>
        <v>RB Leipzig</v>
      </c>
      <c r="AA378" s="19">
        <f>COUNTIFS(F4:F199,Z378,G4:G199,"&gt;=0")+COUNTIFS(I4:I199,Z378,H4:H199,"&gt;=0")</f>
        <v>18</v>
      </c>
      <c r="AB378" s="19">
        <f>COUNTIFS(F4:F199,Z378,B4:B199,3)+COUNTIFS(I4:I199,Z378,M4:M199,3)</f>
        <v>12</v>
      </c>
      <c r="AC378" s="19">
        <f>COUNTIFS(F4:F199,Z378,B4:B199,1)+COUNTIFS(I4:I199,Z378,M4:M199,1)</f>
        <v>4</v>
      </c>
      <c r="AD378" s="19">
        <f>COUNTIFS(F4:F199,Z378,B4:B199,0)+COUNTIFS(I4:I199,Z378,M4:M199,0)</f>
        <v>2</v>
      </c>
      <c r="AE378" s="19">
        <f>SUMIF(F4:F199,Z378,G4:G199)+SUMIF(I4:I199,Z378,H4:H199)</f>
        <v>51</v>
      </c>
      <c r="AF378" s="19">
        <f>SUMIF(F4:F199,Z378,H4:H199)+SUMIF(I4:I199,Z378,G4:G199)</f>
        <v>21</v>
      </c>
      <c r="AG378" s="19">
        <f t="shared" si="301"/>
        <v>30</v>
      </c>
      <c r="AH378" s="19">
        <f t="shared" si="302"/>
        <v>40</v>
      </c>
      <c r="AI378" s="19">
        <f t="shared" si="295"/>
        <v>40000.351000000002</v>
      </c>
      <c r="AJ378" s="2"/>
      <c r="AW378" s="7"/>
    </row>
    <row r="379" spans="1:49" x14ac:dyDescent="0.25">
      <c r="A379" s="1"/>
      <c r="B379" s="6"/>
      <c r="C379" s="6"/>
      <c r="D379" s="63"/>
      <c r="E379" s="6"/>
      <c r="F379" s="6"/>
      <c r="G379" s="14"/>
      <c r="H379" s="14"/>
      <c r="I379" s="6"/>
      <c r="J379" s="6"/>
      <c r="K379" s="63"/>
      <c r="L379" s="6"/>
      <c r="M379" s="6"/>
      <c r="N379" s="6"/>
      <c r="O379" s="6"/>
      <c r="P379" s="6"/>
      <c r="Q379" s="6"/>
      <c r="R379" s="6"/>
      <c r="S379" s="6"/>
      <c r="T379" s="6"/>
      <c r="V379" s="2" t="str">
        <f t="shared" si="294"/>
        <v>SC Freiburg</v>
      </c>
      <c r="W379" s="2">
        <f t="shared" si="292"/>
        <v>7</v>
      </c>
      <c r="Y379" s="19">
        <f>RANK(AI379,$AI$365:$AI$382,0)+COUNTIF($AI$364:AI378,AI379)</f>
        <v>7</v>
      </c>
      <c r="Z379" s="19" t="str">
        <f t="shared" si="293"/>
        <v>SC Freiburg</v>
      </c>
      <c r="AA379" s="19">
        <f>COUNTIFS(F4:F199,Z379,G4:G199,"&gt;=0")+COUNTIFS(I4:I199,Z379,H4:H199,"&gt;=0")</f>
        <v>18</v>
      </c>
      <c r="AB379" s="19">
        <f>COUNTIFS(F4:F199,Z379,B4:B199,3)+COUNTIFS(I4:I199,Z379,M4:M199,3)</f>
        <v>8</v>
      </c>
      <c r="AC379" s="19">
        <f>COUNTIFS(F4:F199,Z379,B4:B199,1)+COUNTIFS(I4:I199,Z379,M4:M199,1)</f>
        <v>5</v>
      </c>
      <c r="AD379" s="19">
        <f>COUNTIFS(F4:F199,Z379,B4:B199,0)+COUNTIFS(I4:I199,Z379,M4:M199,0)</f>
        <v>5</v>
      </c>
      <c r="AE379" s="19">
        <f>SUMIF(F4:F199,Z379,G4:G199)+SUMIF(I4:I199,Z379,H4:H199)</f>
        <v>29</v>
      </c>
      <c r="AF379" s="19">
        <f>SUMIF(F4:F199,Z379,H4:H199)+SUMIF(I4:I199,Z379,G4:G199)</f>
        <v>24</v>
      </c>
      <c r="AG379" s="19">
        <f t="shared" si="301"/>
        <v>5</v>
      </c>
      <c r="AH379" s="19">
        <f t="shared" si="302"/>
        <v>29</v>
      </c>
      <c r="AI379" s="19">
        <f t="shared" si="295"/>
        <v>29000.078999999998</v>
      </c>
      <c r="AJ379" s="2"/>
      <c r="AW379" s="7"/>
    </row>
    <row r="380" spans="1:49" x14ac:dyDescent="0.25">
      <c r="A380" s="1"/>
      <c r="B380" s="6"/>
      <c r="C380" s="6"/>
      <c r="D380" s="63"/>
      <c r="E380" s="6"/>
      <c r="F380" s="6"/>
      <c r="G380" s="14"/>
      <c r="H380" s="14"/>
      <c r="I380" s="6"/>
      <c r="J380" s="6"/>
      <c r="K380" s="63"/>
      <c r="L380" s="6"/>
      <c r="M380" s="6"/>
      <c r="N380" s="6"/>
      <c r="O380" s="6"/>
      <c r="P380" s="6"/>
      <c r="Q380" s="6"/>
      <c r="R380" s="6"/>
      <c r="S380" s="6"/>
      <c r="T380" s="6"/>
      <c r="V380" s="2" t="str">
        <f t="shared" si="294"/>
        <v>SC Paderborn 07</v>
      </c>
      <c r="W380" s="2">
        <f t="shared" si="292"/>
        <v>18</v>
      </c>
      <c r="Y380" s="19">
        <f>RANK(AI380,$AI$365:$AI$382,0)+COUNTIF($AI$364:AI379,AI380)</f>
        <v>18</v>
      </c>
      <c r="Z380" s="19" t="str">
        <f t="shared" si="293"/>
        <v>SC Paderborn 07</v>
      </c>
      <c r="AA380" s="19">
        <f>COUNTIFS(F4:F199,Z380,G4:G199,"&gt;=0")+COUNTIFS(I4:I199,Z380,H4:H199,"&gt;=0")</f>
        <v>18</v>
      </c>
      <c r="AB380" s="19">
        <f>COUNTIFS(F4:F199,Z380,B4:B199,3)+COUNTIFS(I4:I199,Z380,M4:M199,3)</f>
        <v>3</v>
      </c>
      <c r="AC380" s="19">
        <f>COUNTIFS(F4:F199,Z380,B4:B199,1)+COUNTIFS(I4:I199,Z380,M4:M199,1)</f>
        <v>3</v>
      </c>
      <c r="AD380" s="19">
        <f>COUNTIFS(F4:F199,Z380,B4:B199,0)+COUNTIFS(I4:I199,Z380,M4:M199,0)</f>
        <v>12</v>
      </c>
      <c r="AE380" s="19">
        <f>SUMIF(F4:F199,Z380,G4:G199)+SUMIF(I4:I199,Z380,H4:H199)</f>
        <v>21</v>
      </c>
      <c r="AF380" s="19">
        <f>SUMIF(F4:F199,Z380,H4:H199)+SUMIF(I4:I199,Z380,G4:G199)</f>
        <v>40</v>
      </c>
      <c r="AG380" s="19">
        <f t="shared" si="301"/>
        <v>-19</v>
      </c>
      <c r="AH380" s="19">
        <f t="shared" si="302"/>
        <v>12</v>
      </c>
      <c r="AI380" s="19">
        <f t="shared" si="295"/>
        <v>11999.831</v>
      </c>
      <c r="AJ380" s="2"/>
      <c r="AW380" s="7"/>
    </row>
    <row r="381" spans="1:49" x14ac:dyDescent="0.25">
      <c r="A381" s="1"/>
      <c r="B381" s="6"/>
      <c r="C381" s="6"/>
      <c r="D381" s="63"/>
      <c r="E381" s="6"/>
      <c r="F381" s="6"/>
      <c r="G381" s="14"/>
      <c r="H381" s="14"/>
      <c r="I381" s="6"/>
      <c r="J381" s="6"/>
      <c r="K381" s="63"/>
      <c r="L381" s="6"/>
      <c r="M381" s="6"/>
      <c r="N381" s="6"/>
      <c r="O381" s="6"/>
      <c r="P381" s="6"/>
      <c r="Q381" s="6"/>
      <c r="R381" s="6"/>
      <c r="S381" s="6"/>
      <c r="T381" s="6"/>
      <c r="V381" s="2" t="str">
        <f t="shared" si="294"/>
        <v>VfL Wolfsburg</v>
      </c>
      <c r="W381" s="2">
        <f t="shared" si="292"/>
        <v>9</v>
      </c>
      <c r="Y381" s="19">
        <f>RANK(AI381,$AI$365:$AI$382,0)+COUNTIF($AI$364:AI380,AI381)</f>
        <v>9</v>
      </c>
      <c r="Z381" s="19" t="str">
        <f t="shared" si="293"/>
        <v>VfL Wolfsburg</v>
      </c>
      <c r="AA381" s="19">
        <f>COUNTIFS(F4:F199,Z381,G4:G199,"&gt;=0")+COUNTIFS(I4:I199,Z381,H4:H199,"&gt;=0")</f>
        <v>18</v>
      </c>
      <c r="AB381" s="19">
        <f>COUNTIFS(F4:F199,Z381,B4:B199,3)+COUNTIFS(I4:I199,Z381,M4:M199,3)</f>
        <v>6</v>
      </c>
      <c r="AC381" s="19">
        <f>COUNTIFS(F4:F199,Z381,B4:B199,1)+COUNTIFS(I4:I199,Z381,M4:M199,1)</f>
        <v>6</v>
      </c>
      <c r="AD381" s="19">
        <f>COUNTIFS(F4:F199,Z381,B4:B199,0)+COUNTIFS(I4:I199,Z381,M4:M199,0)</f>
        <v>6</v>
      </c>
      <c r="AE381" s="19">
        <f>SUMIF(F4:F199,Z381,G4:G199)+SUMIF(I4:I199,Z381,H4:H199)</f>
        <v>19</v>
      </c>
      <c r="AF381" s="19">
        <f>SUMIF(F4:F199,Z381,H4:H199)+SUMIF(I4:I199,Z381,G4:G199)</f>
        <v>21</v>
      </c>
      <c r="AG381" s="19">
        <f t="shared" si="301"/>
        <v>-2</v>
      </c>
      <c r="AH381" s="19">
        <f t="shared" si="302"/>
        <v>24</v>
      </c>
      <c r="AI381" s="19">
        <f t="shared" si="295"/>
        <v>23999.999</v>
      </c>
      <c r="AJ381" s="2"/>
      <c r="AW381" s="7"/>
    </row>
    <row r="382" spans="1:49" x14ac:dyDescent="0.25">
      <c r="A382" s="1"/>
      <c r="B382" s="6"/>
      <c r="C382" s="6"/>
      <c r="D382" s="63"/>
      <c r="E382" s="6"/>
      <c r="F382" s="6"/>
      <c r="G382" s="14"/>
      <c r="H382" s="14"/>
      <c r="I382" s="6"/>
      <c r="J382" s="6"/>
      <c r="K382" s="63"/>
      <c r="L382" s="6"/>
      <c r="M382" s="6"/>
      <c r="N382" s="6"/>
      <c r="O382" s="6"/>
      <c r="P382" s="6"/>
      <c r="Q382" s="6"/>
      <c r="R382" s="6"/>
      <c r="S382" s="6"/>
      <c r="T382" s="6"/>
      <c r="V382" s="2" t="str">
        <f t="shared" si="294"/>
        <v>Werder Bremen</v>
      </c>
      <c r="W382" s="2">
        <f t="shared" si="292"/>
        <v>16</v>
      </c>
      <c r="Y382" s="19">
        <f>RANK(AI382,$AI$365:$AI$382,0)+COUNTIF($AI$364:AI381,AI382)</f>
        <v>16</v>
      </c>
      <c r="Z382" s="19" t="str">
        <f t="shared" si="293"/>
        <v>Werder Bremen</v>
      </c>
      <c r="AA382" s="19">
        <f>COUNTIFS(F4:F199,Z382,G4:G199,"&gt;=0")+COUNTIFS(I4:I199,Z382,H4:H199,"&gt;=0")</f>
        <v>18</v>
      </c>
      <c r="AB382" s="19">
        <f>COUNTIFS(F4:F199,Z382,B4:B199,3)+COUNTIFS(I4:I199,Z382,M4:M199,3)</f>
        <v>4</v>
      </c>
      <c r="AC382" s="19">
        <f>COUNTIFS(F4:F199,Z382,B4:B199,1)+COUNTIFS(I4:I199,Z382,M4:M199,1)</f>
        <v>5</v>
      </c>
      <c r="AD382" s="19">
        <f>COUNTIFS(F4:F199,Z382,B4:B199,0)+COUNTIFS(I4:I199,Z382,M4:M199,0)</f>
        <v>9</v>
      </c>
      <c r="AE382" s="19">
        <f>SUMIF(F4:F199,Z382,G4:G199)+SUMIF(I4:I199,Z382,H4:H199)</f>
        <v>24</v>
      </c>
      <c r="AF382" s="19">
        <f>SUMIF(F4:F199,Z382,H4:H199)+SUMIF(I4:I199,Z382,G4:G199)</f>
        <v>41</v>
      </c>
      <c r="AG382" s="19">
        <f t="shared" si="301"/>
        <v>-17</v>
      </c>
      <c r="AH382" s="19">
        <f t="shared" si="302"/>
        <v>17</v>
      </c>
      <c r="AI382" s="19">
        <f t="shared" si="295"/>
        <v>16999.854000000003</v>
      </c>
      <c r="AJ382" s="2"/>
      <c r="AW382" s="7"/>
    </row>
    <row r="383" spans="1:49" x14ac:dyDescent="0.25">
      <c r="A383" s="1"/>
      <c r="B383" s="6"/>
      <c r="C383" s="6"/>
      <c r="D383" s="63"/>
      <c r="E383" s="6"/>
      <c r="F383" s="6"/>
      <c r="G383" s="14"/>
      <c r="H383" s="14"/>
      <c r="I383" s="6"/>
      <c r="J383" s="6"/>
      <c r="K383" s="63"/>
      <c r="L383" s="6"/>
      <c r="M383" s="6"/>
      <c r="N383" s="6"/>
      <c r="O383" s="6"/>
      <c r="P383" s="6"/>
      <c r="Q383" s="6"/>
      <c r="R383" s="6"/>
      <c r="S383" s="6"/>
      <c r="T383" s="6"/>
      <c r="AJ383" s="2"/>
      <c r="AW383" s="7"/>
    </row>
    <row r="384" spans="1:49" x14ac:dyDescent="0.25">
      <c r="A384" s="1"/>
      <c r="B384" s="6"/>
      <c r="C384" s="6"/>
      <c r="D384" s="63"/>
      <c r="E384" s="6"/>
      <c r="F384" s="6"/>
      <c r="G384" s="14"/>
      <c r="H384" s="14"/>
      <c r="I384" s="6"/>
      <c r="J384" s="6"/>
      <c r="K384" s="63"/>
      <c r="L384" s="6"/>
      <c r="M384" s="6"/>
      <c r="N384" s="6"/>
      <c r="O384" s="6"/>
      <c r="P384" s="6"/>
      <c r="Q384" s="6"/>
      <c r="R384" s="6"/>
      <c r="S384" s="6"/>
      <c r="T384" s="6"/>
      <c r="W384" s="18">
        <v>19</v>
      </c>
      <c r="Y384" s="19"/>
      <c r="Z384" s="19" t="s">
        <v>1</v>
      </c>
      <c r="AA384" s="19" t="s">
        <v>2</v>
      </c>
      <c r="AB384" s="19" t="s">
        <v>3</v>
      </c>
      <c r="AC384" s="19" t="s">
        <v>4</v>
      </c>
      <c r="AD384" s="19" t="s">
        <v>5</v>
      </c>
      <c r="AE384" s="19" t="s">
        <v>6</v>
      </c>
      <c r="AF384" s="19" t="s">
        <v>7</v>
      </c>
      <c r="AG384" s="19" t="s">
        <v>8</v>
      </c>
      <c r="AH384" s="19" t="s">
        <v>9</v>
      </c>
      <c r="AI384" s="19" t="s">
        <v>0</v>
      </c>
      <c r="AJ384" s="2"/>
      <c r="AW384" s="7"/>
    </row>
    <row r="385" spans="1:49" x14ac:dyDescent="0.25">
      <c r="A385" s="1"/>
      <c r="B385" s="6"/>
      <c r="C385" s="6"/>
      <c r="D385" s="63"/>
      <c r="E385" s="6"/>
      <c r="F385" s="6"/>
      <c r="G385" s="14"/>
      <c r="H385" s="14"/>
      <c r="I385" s="6"/>
      <c r="J385" s="6"/>
      <c r="K385" s="63"/>
      <c r="L385" s="6"/>
      <c r="M385" s="6"/>
      <c r="N385" s="6"/>
      <c r="O385" s="6"/>
      <c r="P385" s="6"/>
      <c r="Q385" s="6"/>
      <c r="R385" s="6"/>
      <c r="S385" s="6"/>
      <c r="T385" s="6"/>
      <c r="V385" s="2" t="str">
        <f>CONCATENATE(Z385)</f>
        <v>1. FC Köln</v>
      </c>
      <c r="W385" s="2">
        <f t="shared" ref="W385:W402" si="303">Y385</f>
        <v>14</v>
      </c>
      <c r="Y385" s="19">
        <f>RANK(AI385,$AI$385:$AI$402,0)+COUNTIF($AI$384:AI384,AI385)</f>
        <v>14</v>
      </c>
      <c r="Z385" s="19" t="str">
        <f t="shared" ref="Z385:Z402" si="304">CONCATENATE(Z5)</f>
        <v>1. FC Köln</v>
      </c>
      <c r="AA385" s="19">
        <f>COUNTIFS(F4:F210,Z385,G4:G210,"&gt;=0")+COUNTIFS(I4:I210,Z385,H4:H210,"&gt;=0")</f>
        <v>19</v>
      </c>
      <c r="AB385" s="19">
        <f>COUNTIFS(F4:F210,Z385,B4:B210,3)+COUNTIFS(I4:I210,Z385,M4:M210,3)</f>
        <v>6</v>
      </c>
      <c r="AC385" s="19">
        <f>COUNTIFS(F4:F210,Z385,B4:B210,1)+COUNTIFS(I4:I210,Z385,M4:M210,1)</f>
        <v>2</v>
      </c>
      <c r="AD385" s="19">
        <f>COUNTIFS(F4:F210,Z385,B4:B210,0)+COUNTIFS(I4:I210,Z385,M4:M210,0)</f>
        <v>11</v>
      </c>
      <c r="AE385" s="19">
        <f>SUMIF(F4:F210,Z385,G4:G210)+SUMIF(I4:I210,Z385,H4:H210)</f>
        <v>23</v>
      </c>
      <c r="AF385" s="19">
        <f>SUMIF(F4:F210,Z385,H4:H210)+SUMIF(I4:I210,Z385,G4:G210)</f>
        <v>38</v>
      </c>
      <c r="AG385" s="19">
        <f>+AE385-AF385</f>
        <v>-15</v>
      </c>
      <c r="AH385" s="19">
        <f>(AB385*3)+AC385</f>
        <v>20</v>
      </c>
      <c r="AI385" s="19">
        <f>SUM(AH385*1000+(AG385)/100+(AE385)/1000)</f>
        <v>19999.873</v>
      </c>
      <c r="AJ385" s="2"/>
      <c r="AW385" s="7"/>
    </row>
    <row r="386" spans="1:49" x14ac:dyDescent="0.25">
      <c r="A386" s="1"/>
      <c r="B386" s="6"/>
      <c r="C386" s="6"/>
      <c r="D386" s="63"/>
      <c r="E386" s="6"/>
      <c r="F386" s="6"/>
      <c r="G386" s="14"/>
      <c r="H386" s="14"/>
      <c r="I386" s="6"/>
      <c r="J386" s="6"/>
      <c r="K386" s="63"/>
      <c r="L386" s="6"/>
      <c r="M386" s="6"/>
      <c r="N386" s="6"/>
      <c r="O386" s="6"/>
      <c r="P386" s="6"/>
      <c r="Q386" s="6"/>
      <c r="R386" s="6"/>
      <c r="S386" s="6"/>
      <c r="T386" s="6"/>
      <c r="V386" s="2" t="str">
        <f t="shared" ref="V386:V402" si="305">CONCATENATE(Z386)</f>
        <v>1. FC Union Berlin</v>
      </c>
      <c r="W386" s="2">
        <f t="shared" si="303"/>
        <v>11</v>
      </c>
      <c r="Y386" s="19">
        <f>RANK(AI386,$AI$385:$AI$402,0)+COUNTIF($AI$384:AI385,AI386)</f>
        <v>11</v>
      </c>
      <c r="Z386" s="19" t="str">
        <f t="shared" si="304"/>
        <v>1. FC Union Berlin</v>
      </c>
      <c r="AA386" s="19">
        <f>COUNTIFS(F4:F210,Z386,G4:G210,"&gt;=0")+COUNTIFS(I4:I210,Z386,H4:H210,"&gt;=0")</f>
        <v>19</v>
      </c>
      <c r="AB386" s="19">
        <f>COUNTIFS(F4:F210,Z386,B4:B210,3)+COUNTIFS(I4:I210,Z386,M4:M210,3)</f>
        <v>7</v>
      </c>
      <c r="AC386" s="19">
        <f>COUNTIFS(F4:F210,Z386,B4:B210,1)+COUNTIFS(I4:I210,Z386,M4:M210,1)</f>
        <v>2</v>
      </c>
      <c r="AD386" s="19">
        <f>COUNTIFS(F4:F210,Z386,B4:B210,0)+COUNTIFS(I4:I210,Z386,M4:M210,0)</f>
        <v>10</v>
      </c>
      <c r="AE386" s="19">
        <f>SUMIF(F4:F210,Z386,G4:G210)+SUMIF(I4:I210,Z386,H4:H210)</f>
        <v>23</v>
      </c>
      <c r="AF386" s="19">
        <f>SUMIF(F4:F210,Z386,H4:H210)+SUMIF(I4:I210,Z386,G4:G210)</f>
        <v>27</v>
      </c>
      <c r="AG386" s="19">
        <f>+AE386-AF386</f>
        <v>-4</v>
      </c>
      <c r="AH386" s="19">
        <f>(AB386*3)+AC386</f>
        <v>23</v>
      </c>
      <c r="AI386" s="19">
        <f t="shared" ref="AI386:AI402" si="306">SUM(AH386*1000+(AG386)/100+(AE386)/1000)</f>
        <v>22999.983</v>
      </c>
      <c r="AJ386" s="2"/>
      <c r="AW386" s="7"/>
    </row>
    <row r="387" spans="1:49" x14ac:dyDescent="0.25">
      <c r="A387" s="1"/>
      <c r="B387" s="6"/>
      <c r="C387" s="6"/>
      <c r="D387" s="63"/>
      <c r="E387" s="6"/>
      <c r="F387" s="6"/>
      <c r="G387" s="14"/>
      <c r="H387" s="14"/>
      <c r="I387" s="6"/>
      <c r="J387" s="6"/>
      <c r="K387" s="63"/>
      <c r="L387" s="6"/>
      <c r="M387" s="6"/>
      <c r="N387" s="6"/>
      <c r="O387" s="6"/>
      <c r="P387" s="6"/>
      <c r="Q387" s="6"/>
      <c r="R387" s="6"/>
      <c r="S387" s="6"/>
      <c r="T387" s="6"/>
      <c r="V387" s="2" t="str">
        <f t="shared" si="305"/>
        <v>1. FSV Mainz 05</v>
      </c>
      <c r="W387" s="2">
        <f t="shared" si="303"/>
        <v>15</v>
      </c>
      <c r="Y387" s="19">
        <f>RANK(AI387,$AI$385:$AI$402,0)+COUNTIF($AI$384:AI386,AI387)</f>
        <v>15</v>
      </c>
      <c r="Z387" s="19" t="str">
        <f t="shared" si="304"/>
        <v>1. FSV Mainz 05</v>
      </c>
      <c r="AA387" s="19">
        <f>COUNTIFS(F4:F210,Z387,G4:G210,"&gt;=0")+COUNTIFS(I4:I210,Z387,H4:H210,"&gt;=0")</f>
        <v>19</v>
      </c>
      <c r="AB387" s="19">
        <f>COUNTIFS(F4:F210,Z387,B4:B210,3)+COUNTIFS(I4:I210,Z387,M4:M210,3)</f>
        <v>6</v>
      </c>
      <c r="AC387" s="19">
        <f>COUNTIFS(F4:F210,Z387,B4:B210,1)+COUNTIFS(I4:I210,Z387,M4:M210,1)</f>
        <v>0</v>
      </c>
      <c r="AD387" s="19">
        <f>COUNTIFS(F4:F210,Z387,B4:B210,0)+COUNTIFS(I4:I210,Z387,M4:M210,0)</f>
        <v>13</v>
      </c>
      <c r="AE387" s="19">
        <f>SUMIF(F4:F210,Z387,G4:G210)+SUMIF(I4:I210,Z387,H4:H210)</f>
        <v>27</v>
      </c>
      <c r="AF387" s="19">
        <f>SUMIF(F4:F210,Z387,H4:H210)+SUMIF(I4:I210,Z387,G4:G210)</f>
        <v>44</v>
      </c>
      <c r="AG387" s="19">
        <f>+AE387-AF387</f>
        <v>-17</v>
      </c>
      <c r="AH387" s="19">
        <f>(AB387*3)+AC387</f>
        <v>18</v>
      </c>
      <c r="AI387" s="19">
        <f t="shared" si="306"/>
        <v>17999.857</v>
      </c>
      <c r="AJ387" s="2"/>
      <c r="AW387" s="7"/>
    </row>
    <row r="388" spans="1:49" x14ac:dyDescent="0.25">
      <c r="A388" s="1"/>
      <c r="B388" s="6"/>
      <c r="C388" s="6"/>
      <c r="D388" s="63"/>
      <c r="E388" s="6"/>
      <c r="F388" s="8"/>
      <c r="G388" s="8"/>
      <c r="H388" s="8"/>
      <c r="I388" s="8"/>
      <c r="J388" s="6"/>
      <c r="K388" s="63"/>
      <c r="L388" s="6"/>
      <c r="M388" s="6"/>
      <c r="N388" s="6"/>
      <c r="O388" s="6"/>
      <c r="P388" s="6"/>
      <c r="Q388" s="6"/>
      <c r="R388" s="6"/>
      <c r="S388" s="6"/>
      <c r="T388" s="6"/>
      <c r="V388" s="2" t="str">
        <f t="shared" si="305"/>
        <v>1899 Hoffenheim</v>
      </c>
      <c r="W388" s="2">
        <f t="shared" si="303"/>
        <v>7</v>
      </c>
      <c r="Y388" s="19">
        <f>RANK(AI388,$AI$385:$AI$402,0)+COUNTIF($AI$384:AI387,AI388)</f>
        <v>7</v>
      </c>
      <c r="Z388" s="19" t="str">
        <f t="shared" si="304"/>
        <v>1899 Hoffenheim</v>
      </c>
      <c r="AA388" s="19">
        <f>COUNTIFS(F4:F210,Z388,G4:G210,"&gt;=0")+COUNTIFS(I4:I210,Z388,H4:H210,"&gt;=0")</f>
        <v>19</v>
      </c>
      <c r="AB388" s="19">
        <f>COUNTIFS(F4:F210,Z388,B4:B210,3)+COUNTIFS(I4:I210,Z388,M4:M210,3)</f>
        <v>9</v>
      </c>
      <c r="AC388" s="19">
        <f>COUNTIFS(F4:F210,Z388,B4:B210,1)+COUNTIFS(I4:I210,Z388,M4:M210,1)</f>
        <v>3</v>
      </c>
      <c r="AD388" s="19">
        <f>COUNTIFS(F4:F210,Z388,B4:B210,0)+COUNTIFS(I4:I210,Z388,M4:M210,0)</f>
        <v>7</v>
      </c>
      <c r="AE388" s="19">
        <f>SUMIF(F4:F210,Z388,G4:G210)+SUMIF(I4:I210,Z388,H4:H210)</f>
        <v>29</v>
      </c>
      <c r="AF388" s="19">
        <f>SUMIF(F4:F210,Z388,H4:H210)+SUMIF(I4:I210,Z388,G4:G210)</f>
        <v>30</v>
      </c>
      <c r="AG388" s="19">
        <f t="shared" ref="AG388:AG402" si="307">+AE388-AF388</f>
        <v>-1</v>
      </c>
      <c r="AH388" s="19">
        <f>(AB388*3)+AC388</f>
        <v>30</v>
      </c>
      <c r="AI388" s="19">
        <f t="shared" si="306"/>
        <v>30000.019</v>
      </c>
      <c r="AJ388" s="2"/>
      <c r="AW388" s="7"/>
    </row>
    <row r="389" spans="1:49" x14ac:dyDescent="0.25">
      <c r="A389" s="1"/>
      <c r="B389" s="6"/>
      <c r="C389" s="6"/>
      <c r="D389" s="63"/>
      <c r="E389" s="6"/>
      <c r="F389" s="6"/>
      <c r="G389" s="14"/>
      <c r="H389" s="14"/>
      <c r="I389" s="6"/>
      <c r="J389" s="6"/>
      <c r="K389" s="63"/>
      <c r="L389" s="6"/>
      <c r="M389" s="6"/>
      <c r="N389" s="6"/>
      <c r="O389" s="6"/>
      <c r="P389" s="6"/>
      <c r="Q389" s="6"/>
      <c r="R389" s="6"/>
      <c r="S389" s="6"/>
      <c r="T389" s="6"/>
      <c r="V389" s="2" t="str">
        <f t="shared" si="305"/>
        <v>Bayer Leverkusen</v>
      </c>
      <c r="W389" s="2">
        <f t="shared" si="303"/>
        <v>5</v>
      </c>
      <c r="Y389" s="19">
        <f>RANK(AI389,$AI$385:$AI$402,0)+COUNTIF($AI$384:AI388,AI389)</f>
        <v>5</v>
      </c>
      <c r="Z389" s="19" t="str">
        <f t="shared" si="304"/>
        <v>Bayer Leverkusen</v>
      </c>
      <c r="AA389" s="19">
        <f>COUNTIFS(F4:F210,Z389,G4:G210,"&gt;=0")+COUNTIFS(I4:I210,Z389,H4:H210,"&gt;=0")</f>
        <v>19</v>
      </c>
      <c r="AB389" s="19">
        <f>COUNTIFS(F4:F210,Z389,B4:B210,3)+COUNTIFS(I4:I210,Z389,M4:M210,3)</f>
        <v>10</v>
      </c>
      <c r="AC389" s="19">
        <f>COUNTIFS(F4:F210,Z389,B4:B210,1)+COUNTIFS(I4:I210,Z389,M4:M210,1)</f>
        <v>4</v>
      </c>
      <c r="AD389" s="19">
        <f>COUNTIFS(F4:F210,Z389,B4:B210,0)+COUNTIFS(I4:I210,Z389,M4:M210,0)</f>
        <v>5</v>
      </c>
      <c r="AE389" s="19">
        <f>SUMIF(F4:F210,Z389,G4:G210)+SUMIF(I4:I210,Z389,H4:H210)</f>
        <v>30</v>
      </c>
      <c r="AF389" s="19">
        <f>SUMIF(F4:F210,Z389,H4:H210)+SUMIF(I4:I210,Z389,G4:G210)</f>
        <v>22</v>
      </c>
      <c r="AG389" s="19">
        <f t="shared" si="307"/>
        <v>8</v>
      </c>
      <c r="AH389" s="19">
        <f>(AB389*3)+AC389</f>
        <v>34</v>
      </c>
      <c r="AI389" s="19">
        <f t="shared" si="306"/>
        <v>34000.11</v>
      </c>
      <c r="AJ389" s="2"/>
      <c r="AW389" s="7"/>
    </row>
    <row r="390" spans="1:49" x14ac:dyDescent="0.25">
      <c r="A390" s="1"/>
      <c r="B390" s="6"/>
      <c r="C390" s="6"/>
      <c r="D390" s="63"/>
      <c r="E390" s="6"/>
      <c r="F390" s="6"/>
      <c r="G390" s="14"/>
      <c r="H390" s="14"/>
      <c r="I390" s="6"/>
      <c r="J390" s="6"/>
      <c r="K390" s="63"/>
      <c r="L390" s="6"/>
      <c r="M390" s="6"/>
      <c r="N390" s="6"/>
      <c r="O390" s="6"/>
      <c r="P390" s="6"/>
      <c r="Q390" s="6"/>
      <c r="R390" s="6"/>
      <c r="S390" s="6"/>
      <c r="T390" s="6"/>
      <c r="V390" s="2" t="str">
        <f t="shared" si="305"/>
        <v>Bayern München</v>
      </c>
      <c r="W390" s="2">
        <f t="shared" si="303"/>
        <v>2</v>
      </c>
      <c r="Y390" s="19">
        <f>RANK(AI390,$AI$385:$AI$402,0)+COUNTIF($AI$384:AI389,AI390)</f>
        <v>2</v>
      </c>
      <c r="Z390" s="19" t="str">
        <f t="shared" si="304"/>
        <v>Bayern München</v>
      </c>
      <c r="AA390" s="19">
        <f>COUNTIFS(F4:F210,Z390,G4:G210,"&gt;=0")+COUNTIFS(I4:I210,Z390,H4:H210,"&gt;=0")</f>
        <v>19</v>
      </c>
      <c r="AB390" s="19">
        <f>COUNTIFS(F4:F210,Z390,B4:B210,3)+COUNTIFS(I4:I210,Z390,M4:M210,3)</f>
        <v>12</v>
      </c>
      <c r="AC390" s="19">
        <f>COUNTIFS(F4:F210,Z390,B4:B210,1)+COUNTIFS(I4:I210,Z390,M4:M210,1)</f>
        <v>3</v>
      </c>
      <c r="AD390" s="19">
        <f>COUNTIFS(F4:F210,Z390,B4:B210,0)+COUNTIFS(I4:I210,Z390,M4:M210,0)</f>
        <v>4</v>
      </c>
      <c r="AE390" s="19">
        <f>SUMIF(F4:F210,Z390,G4:G210)+SUMIF(I4:I210,Z390,H4:H210)</f>
        <v>55</v>
      </c>
      <c r="AF390" s="19">
        <f>SUMIF(F4:F210,Z390,H4:H210)+SUMIF(I4:I210,Z390,G4:G210)</f>
        <v>22</v>
      </c>
      <c r="AG390" s="19">
        <f t="shared" si="307"/>
        <v>33</v>
      </c>
      <c r="AH390" s="19">
        <f t="shared" ref="AH390:AH402" si="308">(AB390*3)+AC390</f>
        <v>39</v>
      </c>
      <c r="AI390" s="19">
        <f t="shared" si="306"/>
        <v>39000.385000000002</v>
      </c>
      <c r="AJ390" s="2"/>
      <c r="AW390" s="7"/>
    </row>
    <row r="391" spans="1:49" x14ac:dyDescent="0.25">
      <c r="A391" s="1"/>
      <c r="B391" s="6"/>
      <c r="C391" s="6"/>
      <c r="D391" s="63"/>
      <c r="E391" s="6"/>
      <c r="F391" s="6"/>
      <c r="G391" s="14"/>
      <c r="H391" s="14"/>
      <c r="I391" s="6"/>
      <c r="J391" s="6"/>
      <c r="K391" s="63"/>
      <c r="L391" s="6"/>
      <c r="M391" s="6"/>
      <c r="N391" s="6"/>
      <c r="O391" s="6"/>
      <c r="P391" s="6"/>
      <c r="Q391" s="6"/>
      <c r="R391" s="6"/>
      <c r="S391" s="6"/>
      <c r="T391" s="6"/>
      <c r="V391" s="2" t="str">
        <f t="shared" si="305"/>
        <v>Bor. Mönchengladbach</v>
      </c>
      <c r="W391" s="2">
        <f t="shared" si="303"/>
        <v>3</v>
      </c>
      <c r="Y391" s="19">
        <f>RANK(AI391,$AI$385:$AI$402,0)+COUNTIF($AI$384:AI390,AI391)</f>
        <v>3</v>
      </c>
      <c r="Z391" s="19" t="str">
        <f t="shared" si="304"/>
        <v>Bor. Mönchengladbach</v>
      </c>
      <c r="AA391" s="19">
        <f>COUNTIFS(F4:F210,Z391,G4:G210,"&gt;=0")+COUNTIFS(I4:I210,Z391,H4:H210,"&gt;=0")</f>
        <v>19</v>
      </c>
      <c r="AB391" s="19">
        <f>COUNTIFS(F4:F210,Z391,B4:B210,3)+COUNTIFS(I4:I210,Z391,M4:M210,3)</f>
        <v>12</v>
      </c>
      <c r="AC391" s="19">
        <f>COUNTIFS(F4:F210,Z391,B4:B210,1)+COUNTIFS(I4:I210,Z391,M4:M210,1)</f>
        <v>2</v>
      </c>
      <c r="AD391" s="19">
        <f>COUNTIFS(F4:F210,Z391,B4:B210,0)+COUNTIFS(I4:I210,Z391,M4:M210,0)</f>
        <v>5</v>
      </c>
      <c r="AE391" s="19">
        <f>SUMIF(F4:F210,Z391,G4:G210)+SUMIF(I4:I210,Z391,H4:H210)</f>
        <v>36</v>
      </c>
      <c r="AF391" s="19">
        <f>SUMIF(F4:F210,Z391,H4:H210)+SUMIF(I4:I210,Z391,G4:G210)</f>
        <v>21</v>
      </c>
      <c r="AG391" s="19">
        <f t="shared" si="307"/>
        <v>15</v>
      </c>
      <c r="AH391" s="19">
        <f t="shared" si="308"/>
        <v>38</v>
      </c>
      <c r="AI391" s="19">
        <f t="shared" si="306"/>
        <v>38000.186000000002</v>
      </c>
      <c r="AJ391" s="2"/>
      <c r="AW391" s="7"/>
    </row>
    <row r="392" spans="1:49" x14ac:dyDescent="0.25">
      <c r="A392" s="1"/>
      <c r="B392" s="6"/>
      <c r="C392" s="6"/>
      <c r="D392" s="63"/>
      <c r="E392" s="6"/>
      <c r="F392" s="6"/>
      <c r="G392" s="14"/>
      <c r="H392" s="14"/>
      <c r="I392" s="6"/>
      <c r="J392" s="6"/>
      <c r="K392" s="63"/>
      <c r="L392" s="6"/>
      <c r="M392" s="6"/>
      <c r="N392" s="6"/>
      <c r="O392" s="6"/>
      <c r="P392" s="6"/>
      <c r="Q392" s="6"/>
      <c r="R392" s="6"/>
      <c r="S392" s="6"/>
      <c r="T392" s="6"/>
      <c r="V392" s="2" t="str">
        <f t="shared" si="305"/>
        <v>Borussia Dortmund</v>
      </c>
      <c r="W392" s="2">
        <f t="shared" si="303"/>
        <v>4</v>
      </c>
      <c r="Y392" s="19">
        <f>RANK(AI392,$AI$385:$AI$402,0)+COUNTIF($AI$384:AI391,AI392)</f>
        <v>4</v>
      </c>
      <c r="Z392" s="19" t="str">
        <f t="shared" si="304"/>
        <v>Borussia Dortmund</v>
      </c>
      <c r="AA392" s="19">
        <f>COUNTIFS(F4:F210,Z392,G4:G210,"&gt;=0")+COUNTIFS(I4:I210,Z392,H4:H210,"&gt;=0")</f>
        <v>19</v>
      </c>
      <c r="AB392" s="19">
        <f>COUNTIFS(F4:F210,Z392,B4:B210,3)+COUNTIFS(I4:I210,Z392,M4:M210,3)</f>
        <v>10</v>
      </c>
      <c r="AC392" s="19">
        <f>COUNTIFS(F4:F210,Z392,B4:B210,1)+COUNTIFS(I4:I210,Z392,M4:M210,1)</f>
        <v>6</v>
      </c>
      <c r="AD392" s="19">
        <f>COUNTIFS(F4:F210,Z392,B4:B210,0)+COUNTIFS(I4:I210,Z392,M4:M210,0)</f>
        <v>3</v>
      </c>
      <c r="AE392" s="19">
        <f>SUMIF(F4:F210,Z392,G4:G210)+SUMIF(I4:I210,Z392,H4:H210)</f>
        <v>51</v>
      </c>
      <c r="AF392" s="19">
        <f>SUMIF(F4:F210,Z392,H4:H210)+SUMIF(I4:I210,Z392,G4:G210)</f>
        <v>28</v>
      </c>
      <c r="AG392" s="19">
        <f t="shared" si="307"/>
        <v>23</v>
      </c>
      <c r="AH392" s="19">
        <f t="shared" si="308"/>
        <v>36</v>
      </c>
      <c r="AI392" s="19">
        <f t="shared" si="306"/>
        <v>36000.281000000003</v>
      </c>
      <c r="AJ392" s="2"/>
      <c r="AW392" s="7"/>
    </row>
    <row r="393" spans="1:49" x14ac:dyDescent="0.25">
      <c r="A393" s="1"/>
      <c r="B393" s="6"/>
      <c r="C393" s="6"/>
      <c r="D393" s="63"/>
      <c r="E393" s="6"/>
      <c r="F393" s="6"/>
      <c r="G393" s="14"/>
      <c r="H393" s="14"/>
      <c r="I393" s="6"/>
      <c r="J393" s="6"/>
      <c r="K393" s="63"/>
      <c r="L393" s="6"/>
      <c r="M393" s="6"/>
      <c r="N393" s="6"/>
      <c r="O393" s="6"/>
      <c r="P393" s="6"/>
      <c r="Q393" s="6"/>
      <c r="R393" s="6"/>
      <c r="S393" s="6"/>
      <c r="T393" s="6"/>
      <c r="V393" s="2" t="str">
        <f t="shared" si="305"/>
        <v>Eintracht Frankfurt</v>
      </c>
      <c r="W393" s="2">
        <f t="shared" si="303"/>
        <v>9</v>
      </c>
      <c r="Y393" s="19">
        <f>RANK(AI393,$AI$385:$AI$402,0)+COUNTIF($AI$384:AI392,AI393)</f>
        <v>9</v>
      </c>
      <c r="Z393" s="19" t="str">
        <f t="shared" si="304"/>
        <v>Eintracht Frankfurt</v>
      </c>
      <c r="AA393" s="19">
        <f>COUNTIFS(F4:F210,Z393,G4:G210,"&gt;=0")+COUNTIFS(I4:I210,Z393,H4:H210,"&gt;=0")</f>
        <v>19</v>
      </c>
      <c r="AB393" s="19">
        <f>COUNTIFS(F4:F210,Z393,B4:B210,3)+COUNTIFS(I4:I210,Z393,M4:M210,3)</f>
        <v>7</v>
      </c>
      <c r="AC393" s="19">
        <f>COUNTIFS(F4:F210,Z393,B4:B210,1)+COUNTIFS(I4:I210,Z393,M4:M210,1)</f>
        <v>3</v>
      </c>
      <c r="AD393" s="19">
        <f>COUNTIFS(F4:F210,Z393,B4:B210,0)+COUNTIFS(I4:I210,Z393,M4:M210,0)</f>
        <v>9</v>
      </c>
      <c r="AE393" s="19">
        <f>SUMIF(F4:F210,Z393,G4:G210)+SUMIF(I4:I210,Z393,H4:H210)</f>
        <v>31</v>
      </c>
      <c r="AF393" s="19">
        <f>SUMIF(F4:F210,Z393,H4:H210)+SUMIF(I4:I210,Z393,G4:G210)</f>
        <v>30</v>
      </c>
      <c r="AG393" s="19">
        <f t="shared" si="307"/>
        <v>1</v>
      </c>
      <c r="AH393" s="19">
        <f t="shared" si="308"/>
        <v>24</v>
      </c>
      <c r="AI393" s="19">
        <f t="shared" si="306"/>
        <v>24000.040999999997</v>
      </c>
      <c r="AJ393" s="2"/>
      <c r="AW393" s="7"/>
    </row>
    <row r="394" spans="1:49" x14ac:dyDescent="0.25">
      <c r="A394" s="1"/>
      <c r="B394" s="6"/>
      <c r="C394" s="6"/>
      <c r="D394" s="63"/>
      <c r="E394" s="6"/>
      <c r="F394" s="6"/>
      <c r="G394" s="14"/>
      <c r="H394" s="14"/>
      <c r="I394" s="6"/>
      <c r="J394" s="6"/>
      <c r="K394" s="63"/>
      <c r="L394" s="6"/>
      <c r="M394" s="6"/>
      <c r="N394" s="6"/>
      <c r="O394" s="6"/>
      <c r="P394" s="6"/>
      <c r="Q394" s="6"/>
      <c r="R394" s="6"/>
      <c r="S394" s="6"/>
      <c r="T394" s="6"/>
      <c r="V394" s="2" t="str">
        <f t="shared" si="305"/>
        <v>FC Augsburg</v>
      </c>
      <c r="W394" s="2">
        <f t="shared" si="303"/>
        <v>12</v>
      </c>
      <c r="Y394" s="19">
        <f>RANK(AI394,$AI$385:$AI$402,0)+COUNTIF($AI$384:AI393,AI394)</f>
        <v>12</v>
      </c>
      <c r="Z394" s="19" t="str">
        <f t="shared" si="304"/>
        <v>FC Augsburg</v>
      </c>
      <c r="AA394" s="19">
        <f>COUNTIFS(F4:F210,Z394,G4:G210,"&gt;=0")+COUNTIFS(I4:I210,Z394,H4:H210,"&gt;=0")</f>
        <v>19</v>
      </c>
      <c r="AB394" s="19">
        <f>COUNTIFS(F4:F210,Z394,B4:B210,3)+COUNTIFS(I4:I210,Z394,M4:M210,3)</f>
        <v>6</v>
      </c>
      <c r="AC394" s="19">
        <f>COUNTIFS(F4:F210,Z394,B4:B210,1)+COUNTIFS(I4:I210,Z394,M4:M210,1)</f>
        <v>5</v>
      </c>
      <c r="AD394" s="19">
        <f>COUNTIFS(F4:F210,Z394,B4:B210,0)+COUNTIFS(I4:I210,Z394,M4:M210,0)</f>
        <v>8</v>
      </c>
      <c r="AE394" s="19">
        <f>SUMIF(F4:F210,Z394,G4:G210)+SUMIF(I4:I210,Z394,H4:H210)</f>
        <v>31</v>
      </c>
      <c r="AF394" s="19">
        <f>SUMIF(F4:F210,Z394,H4:H210)+SUMIF(I4:I210,Z394,G4:G210)</f>
        <v>38</v>
      </c>
      <c r="AG394" s="19">
        <f t="shared" si="307"/>
        <v>-7</v>
      </c>
      <c r="AH394" s="19">
        <f t="shared" si="308"/>
        <v>23</v>
      </c>
      <c r="AI394" s="19">
        <f t="shared" si="306"/>
        <v>22999.960999999999</v>
      </c>
      <c r="AJ394" s="2"/>
      <c r="AW394" s="7"/>
    </row>
    <row r="395" spans="1:49" x14ac:dyDescent="0.25">
      <c r="A395" s="1"/>
      <c r="B395" s="6"/>
      <c r="C395" s="6"/>
      <c r="D395" s="63"/>
      <c r="E395" s="6"/>
      <c r="F395" s="6"/>
      <c r="G395" s="14"/>
      <c r="H395" s="14"/>
      <c r="I395" s="6"/>
      <c r="J395" s="6"/>
      <c r="K395" s="63"/>
      <c r="L395" s="6"/>
      <c r="M395" s="6"/>
      <c r="N395" s="6"/>
      <c r="O395" s="6"/>
      <c r="P395" s="6"/>
      <c r="Q395" s="6"/>
      <c r="R395" s="6"/>
      <c r="S395" s="6"/>
      <c r="T395" s="6"/>
      <c r="V395" s="2" t="str">
        <f t="shared" si="305"/>
        <v>FC Schalke 04</v>
      </c>
      <c r="W395" s="2">
        <f t="shared" si="303"/>
        <v>6</v>
      </c>
      <c r="Y395" s="19">
        <f>RANK(AI395,$AI$385:$AI$402,0)+COUNTIF($AI$384:AI394,AI395)</f>
        <v>6</v>
      </c>
      <c r="Z395" s="19" t="str">
        <f t="shared" si="304"/>
        <v>FC Schalke 04</v>
      </c>
      <c r="AA395" s="19">
        <f>COUNTIFS(F4:F210,Z395,G4:G210,"&gt;=0")+COUNTIFS(I4:I210,Z395,H4:H210,"&gt;=0")</f>
        <v>19</v>
      </c>
      <c r="AB395" s="19">
        <f>COUNTIFS(F4:F210,Z395,B4:B210,3)+COUNTIFS(I4:I210,Z395,M4:M210,3)</f>
        <v>9</v>
      </c>
      <c r="AC395" s="19">
        <f>COUNTIFS(F4:F210,Z395,B4:B210,1)+COUNTIFS(I4:I210,Z395,M4:M210,1)</f>
        <v>6</v>
      </c>
      <c r="AD395" s="19">
        <f>COUNTIFS(F4:F210,Z395,B4:B210,0)+COUNTIFS(I4:I210,Z395,M4:M210,0)</f>
        <v>4</v>
      </c>
      <c r="AE395" s="19">
        <f>SUMIF(F4:F210,Z395,G4:G210)+SUMIF(I4:I210,Z395,H4:H210)</f>
        <v>31</v>
      </c>
      <c r="AF395" s="19">
        <f>SUMIF(F4:F210,Z395,H4:H210)+SUMIF(I4:I210,Z395,G4:G210)</f>
        <v>26</v>
      </c>
      <c r="AG395" s="19">
        <f t="shared" si="307"/>
        <v>5</v>
      </c>
      <c r="AH395" s="19">
        <f t="shared" si="308"/>
        <v>33</v>
      </c>
      <c r="AI395" s="19">
        <f t="shared" si="306"/>
        <v>33000.081000000006</v>
      </c>
      <c r="AJ395" s="2"/>
      <c r="AW395" s="7"/>
    </row>
    <row r="396" spans="1:49" x14ac:dyDescent="0.25">
      <c r="A396" s="1"/>
      <c r="B396" s="6"/>
      <c r="C396" s="6"/>
      <c r="D396" s="63"/>
      <c r="E396" s="6"/>
      <c r="F396" s="6"/>
      <c r="G396" s="14"/>
      <c r="H396" s="14"/>
      <c r="I396" s="6"/>
      <c r="J396" s="6"/>
      <c r="K396" s="63"/>
      <c r="L396" s="6"/>
      <c r="M396" s="6"/>
      <c r="N396" s="6"/>
      <c r="O396" s="6"/>
      <c r="P396" s="6"/>
      <c r="Q396" s="6"/>
      <c r="R396" s="6"/>
      <c r="S396" s="6"/>
      <c r="T396" s="6"/>
      <c r="V396" s="2" t="str">
        <f t="shared" si="305"/>
        <v>Fortuna Düsseldorf</v>
      </c>
      <c r="W396" s="2">
        <f t="shared" si="303"/>
        <v>18</v>
      </c>
      <c r="Y396" s="19">
        <f>RANK(AI396,$AI$385:$AI$402,0)+COUNTIF($AI$384:AI395,AI396)</f>
        <v>18</v>
      </c>
      <c r="Z396" s="19" t="str">
        <f t="shared" si="304"/>
        <v>Fortuna Düsseldorf</v>
      </c>
      <c r="AA396" s="19">
        <f>COUNTIFS(F4:F210,Z396,G4:G210,"&gt;=0")+COUNTIFS(I4:I210,Z396,H4:H210,"&gt;=0")</f>
        <v>19</v>
      </c>
      <c r="AB396" s="19">
        <f>COUNTIFS(F4:F210,Z396,B4:B210,3)+COUNTIFS(I4:I210,Z396,M4:M210,3)</f>
        <v>4</v>
      </c>
      <c r="AC396" s="19">
        <f>COUNTIFS(F4:F210,Z396,B4:B210,1)+COUNTIFS(I4:I210,Z396,M4:M210,1)</f>
        <v>3</v>
      </c>
      <c r="AD396" s="19">
        <f>COUNTIFS(F4:F210,Z396,B4:B210,0)+COUNTIFS(I4:I210,Z396,M4:M210,0)</f>
        <v>12</v>
      </c>
      <c r="AE396" s="19">
        <f>SUMIF(F4:F210,Z396,G4:G210)+SUMIF(I4:I210,Z396,H4:H210)</f>
        <v>18</v>
      </c>
      <c r="AF396" s="19">
        <f>SUMIF(F4:F210,Z396,H4:H210)+SUMIF(I4:I210,Z396,G4:G210)</f>
        <v>40</v>
      </c>
      <c r="AG396" s="19">
        <f t="shared" si="307"/>
        <v>-22</v>
      </c>
      <c r="AH396" s="19">
        <f t="shared" si="308"/>
        <v>15</v>
      </c>
      <c r="AI396" s="19">
        <f t="shared" si="306"/>
        <v>14999.798000000001</v>
      </c>
      <c r="AJ396" s="2"/>
      <c r="AW396" s="7"/>
    </row>
    <row r="397" spans="1:49" x14ac:dyDescent="0.25">
      <c r="A397" s="1"/>
      <c r="B397" s="6"/>
      <c r="C397" s="6"/>
      <c r="D397" s="63"/>
      <c r="E397" s="6"/>
      <c r="F397" s="6"/>
      <c r="G397" s="14"/>
      <c r="H397" s="14"/>
      <c r="I397" s="6"/>
      <c r="J397" s="6"/>
      <c r="K397" s="63"/>
      <c r="L397" s="6"/>
      <c r="M397" s="6"/>
      <c r="N397" s="6"/>
      <c r="O397" s="6"/>
      <c r="P397" s="6"/>
      <c r="Q397" s="6"/>
      <c r="R397" s="6"/>
      <c r="S397" s="6"/>
      <c r="T397" s="6"/>
      <c r="V397" s="2" t="str">
        <f t="shared" si="305"/>
        <v>Hertha BSC</v>
      </c>
      <c r="W397" s="2">
        <f t="shared" si="303"/>
        <v>13</v>
      </c>
      <c r="Y397" s="19">
        <f>RANK(AI397,$AI$385:$AI$402,0)+COUNTIF($AI$384:AI396,AI397)</f>
        <v>13</v>
      </c>
      <c r="Z397" s="19" t="str">
        <f t="shared" si="304"/>
        <v>Hertha BSC</v>
      </c>
      <c r="AA397" s="19">
        <f>COUNTIFS(F4:F210,Z397,G4:G210,"&gt;=0")+COUNTIFS(I4:I210,Z397,H4:H210,"&gt;=0")</f>
        <v>19</v>
      </c>
      <c r="AB397" s="19">
        <f>COUNTIFS(F4:F210,Z397,B4:B210,3)+COUNTIFS(I4:I210,Z397,M4:M210,3)</f>
        <v>6</v>
      </c>
      <c r="AC397" s="19">
        <f>COUNTIFS(F4:F210,Z397,B4:B210,1)+COUNTIFS(I4:I210,Z397,M4:M210,1)</f>
        <v>4</v>
      </c>
      <c r="AD397" s="19">
        <f>COUNTIFS(F4:F210,Z397,B4:B210,0)+COUNTIFS(I4:I210,Z397,M4:M210,0)</f>
        <v>9</v>
      </c>
      <c r="AE397" s="19">
        <f>SUMIF(F4:F210,Z397,G4:G210)+SUMIF(I4:I210,Z397,H4:H210)</f>
        <v>24</v>
      </c>
      <c r="AF397" s="19">
        <f>SUMIF(F4:F210,Z397,H4:H210)+SUMIF(I4:I210,Z397,G4:G210)</f>
        <v>34</v>
      </c>
      <c r="AG397" s="19">
        <f t="shared" si="307"/>
        <v>-10</v>
      </c>
      <c r="AH397" s="19">
        <f t="shared" si="308"/>
        <v>22</v>
      </c>
      <c r="AI397" s="19">
        <f t="shared" si="306"/>
        <v>21999.924000000003</v>
      </c>
      <c r="AJ397" s="2"/>
      <c r="AW397" s="7"/>
    </row>
    <row r="398" spans="1:49" x14ac:dyDescent="0.25">
      <c r="A398" s="1"/>
      <c r="B398" s="6"/>
      <c r="C398" s="6"/>
      <c r="D398" s="63"/>
      <c r="E398" s="6"/>
      <c r="F398" s="6"/>
      <c r="G398" s="14"/>
      <c r="H398" s="14"/>
      <c r="I398" s="6"/>
      <c r="J398" s="6"/>
      <c r="K398" s="63"/>
      <c r="L398" s="6"/>
      <c r="M398" s="6"/>
      <c r="N398" s="6"/>
      <c r="O398" s="6"/>
      <c r="P398" s="6"/>
      <c r="Q398" s="6"/>
      <c r="R398" s="6"/>
      <c r="S398" s="6"/>
      <c r="T398" s="6"/>
      <c r="V398" s="2" t="str">
        <f t="shared" si="305"/>
        <v>RB Leipzig</v>
      </c>
      <c r="W398" s="2">
        <f t="shared" si="303"/>
        <v>1</v>
      </c>
      <c r="Y398" s="19">
        <f>RANK(AI398,$AI$385:$AI$402,0)+COUNTIF($AI$384:AI397,AI398)</f>
        <v>1</v>
      </c>
      <c r="Z398" s="19" t="str">
        <f t="shared" si="304"/>
        <v>RB Leipzig</v>
      </c>
      <c r="AA398" s="19">
        <f>COUNTIFS(F4:F210,Z398,G4:G210,"&gt;=0")+COUNTIFS(I4:I210,Z398,H4:H210,"&gt;=0")</f>
        <v>19</v>
      </c>
      <c r="AB398" s="19">
        <f>COUNTIFS(F4:F210,Z398,B4:B210,3)+COUNTIFS(I4:I210,Z398,M4:M210,3)</f>
        <v>12</v>
      </c>
      <c r="AC398" s="19">
        <f>COUNTIFS(F4:F210,Z398,B4:B210,1)+COUNTIFS(I4:I210,Z398,M4:M210,1)</f>
        <v>4</v>
      </c>
      <c r="AD398" s="19">
        <f>COUNTIFS(F4:F210,Z398,B4:B210,0)+COUNTIFS(I4:I210,Z398,M4:M210,0)</f>
        <v>3</v>
      </c>
      <c r="AE398" s="19">
        <f>SUMIF(F4:F210,Z398,G4:G210)+SUMIF(I4:I210,Z398,H4:H210)</f>
        <v>51</v>
      </c>
      <c r="AF398" s="19">
        <f>SUMIF(F4:F210,Z398,H4:H210)+SUMIF(I4:I210,Z398,G4:G210)</f>
        <v>23</v>
      </c>
      <c r="AG398" s="19">
        <f t="shared" si="307"/>
        <v>28</v>
      </c>
      <c r="AH398" s="19">
        <f t="shared" si="308"/>
        <v>40</v>
      </c>
      <c r="AI398" s="19">
        <f t="shared" si="306"/>
        <v>40000.330999999998</v>
      </c>
      <c r="AJ398" s="2"/>
      <c r="AW398" s="7"/>
    </row>
    <row r="399" spans="1:49" x14ac:dyDescent="0.25">
      <c r="A399" s="1"/>
      <c r="B399" s="6"/>
      <c r="C399" s="6"/>
      <c r="D399" s="63"/>
      <c r="E399" s="6"/>
      <c r="F399" s="8"/>
      <c r="G399" s="8"/>
      <c r="H399" s="8"/>
      <c r="I399" s="8"/>
      <c r="J399" s="6"/>
      <c r="K399" s="63"/>
      <c r="L399" s="6"/>
      <c r="M399" s="6"/>
      <c r="N399" s="6"/>
      <c r="O399" s="6"/>
      <c r="P399" s="6"/>
      <c r="Q399" s="6"/>
      <c r="R399" s="6"/>
      <c r="S399" s="6"/>
      <c r="T399" s="6"/>
      <c r="V399" s="2" t="str">
        <f t="shared" si="305"/>
        <v>SC Freiburg</v>
      </c>
      <c r="W399" s="2">
        <f t="shared" si="303"/>
        <v>8</v>
      </c>
      <c r="Y399" s="19">
        <f>RANK(AI399,$AI$385:$AI$402,0)+COUNTIF($AI$384:AI398,AI399)</f>
        <v>8</v>
      </c>
      <c r="Z399" s="19" t="str">
        <f t="shared" si="304"/>
        <v>SC Freiburg</v>
      </c>
      <c r="AA399" s="19">
        <f>COUNTIFS(F4:F210,Z399,G4:G210,"&gt;=0")+COUNTIFS(I4:I210,Z399,H4:H210,"&gt;=0")</f>
        <v>19</v>
      </c>
      <c r="AB399" s="19">
        <f>COUNTIFS(F4:F210,Z399,B4:B210,3)+COUNTIFS(I4:I210,Z399,M4:M210,3)</f>
        <v>8</v>
      </c>
      <c r="AC399" s="19">
        <f>COUNTIFS(F4:F210,Z399,B4:B210,1)+COUNTIFS(I4:I210,Z399,M4:M210,1)</f>
        <v>5</v>
      </c>
      <c r="AD399" s="19">
        <f>COUNTIFS(F4:F210,Z399,B4:B210,0)+COUNTIFS(I4:I210,Z399,M4:M210,0)</f>
        <v>6</v>
      </c>
      <c r="AE399" s="19">
        <f>SUMIF(F4:F210,Z399,G4:G210)+SUMIF(I4:I210,Z399,H4:H210)</f>
        <v>29</v>
      </c>
      <c r="AF399" s="19">
        <f>SUMIF(F4:F210,Z399,H4:H210)+SUMIF(I4:I210,Z399,G4:G210)</f>
        <v>26</v>
      </c>
      <c r="AG399" s="19">
        <f t="shared" si="307"/>
        <v>3</v>
      </c>
      <c r="AH399" s="19">
        <f t="shared" si="308"/>
        <v>29</v>
      </c>
      <c r="AI399" s="19">
        <f t="shared" si="306"/>
        <v>29000.058999999997</v>
      </c>
      <c r="AW399" s="7"/>
    </row>
    <row r="400" spans="1:49" x14ac:dyDescent="0.25">
      <c r="A400" s="1"/>
      <c r="B400" s="6"/>
      <c r="C400" s="6"/>
      <c r="D400" s="63"/>
      <c r="E400" s="6"/>
      <c r="F400" s="6"/>
      <c r="G400" s="14"/>
      <c r="H400" s="14"/>
      <c r="I400" s="6"/>
      <c r="J400" s="6"/>
      <c r="K400" s="63"/>
      <c r="L400" s="6"/>
      <c r="M400" s="6"/>
      <c r="N400" s="6"/>
      <c r="O400" s="6"/>
      <c r="P400" s="6"/>
      <c r="Q400" s="6"/>
      <c r="R400" s="6"/>
      <c r="S400" s="6"/>
      <c r="T400" s="6"/>
      <c r="V400" s="2" t="str">
        <f t="shared" si="305"/>
        <v>SC Paderborn 07</v>
      </c>
      <c r="W400" s="2">
        <f t="shared" si="303"/>
        <v>17</v>
      </c>
      <c r="Y400" s="19">
        <f>RANK(AI400,$AI$385:$AI$402,0)+COUNTIF($AI$384:AI399,AI400)</f>
        <v>17</v>
      </c>
      <c r="Z400" s="19" t="str">
        <f t="shared" si="304"/>
        <v>SC Paderborn 07</v>
      </c>
      <c r="AA400" s="19">
        <f>COUNTIFS(F4:F210,Z400,G4:G210,"&gt;=0")+COUNTIFS(I4:I210,Z400,H4:H210,"&gt;=0")</f>
        <v>19</v>
      </c>
      <c r="AB400" s="19">
        <f>COUNTIFS(F4:F210,Z400,B4:B210,3)+COUNTIFS(I4:I210,Z400,M4:M210,3)</f>
        <v>4</v>
      </c>
      <c r="AC400" s="19">
        <f>COUNTIFS(F4:F210,Z400,B4:B210,1)+COUNTIFS(I4:I210,Z400,M4:M210,1)</f>
        <v>3</v>
      </c>
      <c r="AD400" s="19">
        <f>COUNTIFS(F4:F210,Z400,B4:B210,0)+COUNTIFS(I4:I210,Z400,M4:M210,0)</f>
        <v>12</v>
      </c>
      <c r="AE400" s="19">
        <f>SUMIF(F4:F210,Z400,G4:G210)+SUMIF(I4:I210,Z400,H4:H210)</f>
        <v>23</v>
      </c>
      <c r="AF400" s="19">
        <f>SUMIF(F4:F210,Z400,H4:H210)+SUMIF(I4:I210,Z400,G4:G210)</f>
        <v>40</v>
      </c>
      <c r="AG400" s="19">
        <f t="shared" si="307"/>
        <v>-17</v>
      </c>
      <c r="AH400" s="19">
        <f t="shared" si="308"/>
        <v>15</v>
      </c>
      <c r="AI400" s="19">
        <f t="shared" si="306"/>
        <v>14999.852999999999</v>
      </c>
      <c r="AJ400" s="2"/>
      <c r="AW400" s="7"/>
    </row>
    <row r="401" spans="1:49" x14ac:dyDescent="0.25">
      <c r="A401" s="1"/>
      <c r="B401" s="6"/>
      <c r="C401" s="6"/>
      <c r="D401" s="63"/>
      <c r="E401" s="6"/>
      <c r="F401" s="6"/>
      <c r="G401" s="14"/>
      <c r="H401" s="14"/>
      <c r="I401" s="6"/>
      <c r="J401" s="6"/>
      <c r="K401" s="63"/>
      <c r="L401" s="6"/>
      <c r="M401" s="6"/>
      <c r="N401" s="6"/>
      <c r="O401" s="6"/>
      <c r="P401" s="6"/>
      <c r="Q401" s="6"/>
      <c r="R401" s="6"/>
      <c r="S401" s="6"/>
      <c r="T401" s="6"/>
      <c r="V401" s="2" t="str">
        <f t="shared" si="305"/>
        <v>VfL Wolfsburg</v>
      </c>
      <c r="W401" s="2">
        <f t="shared" si="303"/>
        <v>10</v>
      </c>
      <c r="Y401" s="19">
        <f>RANK(AI401,$AI$385:$AI$402,0)+COUNTIF($AI$384:AI400,AI401)</f>
        <v>10</v>
      </c>
      <c r="Z401" s="19" t="str">
        <f t="shared" si="304"/>
        <v>VfL Wolfsburg</v>
      </c>
      <c r="AA401" s="19">
        <f>COUNTIFS(F4:F210,Z401,G4:G210,"&gt;=0")+COUNTIFS(I4:I210,Z401,H4:H210,"&gt;=0")</f>
        <v>19</v>
      </c>
      <c r="AB401" s="19">
        <f>COUNTIFS(F4:F210,Z401,B4:B210,3)+COUNTIFS(I4:I210,Z401,M4:M210,3)</f>
        <v>6</v>
      </c>
      <c r="AC401" s="19">
        <f>COUNTIFS(F4:F210,Z401,B4:B210,1)+COUNTIFS(I4:I210,Z401,M4:M210,1)</f>
        <v>6</v>
      </c>
      <c r="AD401" s="19">
        <f>COUNTIFS(F4:F210,Z401,B4:B210,0)+COUNTIFS(I4:I210,Z401,M4:M210,0)</f>
        <v>7</v>
      </c>
      <c r="AE401" s="19">
        <f>SUMIF(F4:F210,Z401,G4:G210)+SUMIF(I4:I210,Z401,H4:H210)</f>
        <v>20</v>
      </c>
      <c r="AF401" s="19">
        <f>SUMIF(F4:F210,Z401,H4:H210)+SUMIF(I4:I210,Z401,G4:G210)</f>
        <v>23</v>
      </c>
      <c r="AG401" s="19">
        <f t="shared" si="307"/>
        <v>-3</v>
      </c>
      <c r="AH401" s="19">
        <f t="shared" si="308"/>
        <v>24</v>
      </c>
      <c r="AI401" s="19">
        <f t="shared" si="306"/>
        <v>23999.99</v>
      </c>
      <c r="AJ401" s="2"/>
      <c r="AW401" s="7"/>
    </row>
    <row r="402" spans="1:49" x14ac:dyDescent="0.25">
      <c r="A402" s="1"/>
      <c r="B402" s="6"/>
      <c r="C402" s="6"/>
      <c r="D402" s="63"/>
      <c r="E402" s="6"/>
      <c r="F402" s="6"/>
      <c r="G402" s="14"/>
      <c r="H402" s="14"/>
      <c r="I402" s="6"/>
      <c r="J402" s="6"/>
      <c r="K402" s="63"/>
      <c r="L402" s="6"/>
      <c r="M402" s="6"/>
      <c r="N402" s="6"/>
      <c r="O402" s="6"/>
      <c r="P402" s="6"/>
      <c r="Q402" s="6"/>
      <c r="R402" s="6"/>
      <c r="S402" s="6"/>
      <c r="T402" s="6"/>
      <c r="V402" s="2" t="str">
        <f t="shared" si="305"/>
        <v>Werder Bremen</v>
      </c>
      <c r="W402" s="2">
        <f t="shared" si="303"/>
        <v>16</v>
      </c>
      <c r="Y402" s="19">
        <f>RANK(AI402,$AI$385:$AI$402,0)+COUNTIF($AI$384:AI401,AI402)</f>
        <v>16</v>
      </c>
      <c r="Z402" s="19" t="str">
        <f t="shared" si="304"/>
        <v>Werder Bremen</v>
      </c>
      <c r="AA402" s="19">
        <f>COUNTIFS(F4:F210,Z402,G4:G210,"&gt;=0")+COUNTIFS(I4:I210,Z402,H4:H210,"&gt;=0")</f>
        <v>19</v>
      </c>
      <c r="AB402" s="19">
        <f>COUNTIFS(F4:F210,Z402,B4:B210,3)+COUNTIFS(I4:I210,Z402,M4:M210,3)</f>
        <v>4</v>
      </c>
      <c r="AC402" s="19">
        <f>COUNTIFS(F4:F210,Z402,B4:B210,1)+COUNTIFS(I4:I210,Z402,M4:M210,1)</f>
        <v>5</v>
      </c>
      <c r="AD402" s="19">
        <f>COUNTIFS(F4:F210,Z402,B4:B210,0)+COUNTIFS(I4:I210,Z402,M4:M210,0)</f>
        <v>10</v>
      </c>
      <c r="AE402" s="19">
        <f>SUMIF(F4:F210,Z402,G4:G210)+SUMIF(I4:I210,Z402,H4:H210)</f>
        <v>24</v>
      </c>
      <c r="AF402" s="19">
        <f>SUMIF(F4:F210,Z402,H4:H210)+SUMIF(I4:I210,Z402,G4:G210)</f>
        <v>44</v>
      </c>
      <c r="AG402" s="19">
        <f t="shared" si="307"/>
        <v>-20</v>
      </c>
      <c r="AH402" s="19">
        <f t="shared" si="308"/>
        <v>17</v>
      </c>
      <c r="AI402" s="19">
        <f t="shared" si="306"/>
        <v>16999.824000000001</v>
      </c>
      <c r="AJ402" s="2"/>
      <c r="AW402" s="7"/>
    </row>
    <row r="403" spans="1:49" x14ac:dyDescent="0.25">
      <c r="A403" s="1"/>
      <c r="B403" s="6"/>
      <c r="C403" s="6"/>
      <c r="D403" s="63"/>
      <c r="E403" s="6"/>
      <c r="F403" s="6"/>
      <c r="G403" s="14"/>
      <c r="H403" s="14"/>
      <c r="I403" s="6"/>
      <c r="J403" s="6"/>
      <c r="K403" s="63"/>
      <c r="L403" s="6"/>
      <c r="M403" s="6"/>
      <c r="N403" s="6"/>
      <c r="O403" s="6"/>
      <c r="P403" s="6"/>
      <c r="Q403" s="6"/>
      <c r="R403" s="6"/>
      <c r="S403" s="6"/>
      <c r="T403" s="6"/>
      <c r="AJ403" s="2"/>
      <c r="AW403" s="7"/>
    </row>
    <row r="404" spans="1:49" x14ac:dyDescent="0.25">
      <c r="A404" s="1"/>
      <c r="B404" s="6"/>
      <c r="C404" s="6"/>
      <c r="D404" s="63"/>
      <c r="E404" s="6"/>
      <c r="F404" s="6"/>
      <c r="G404" s="14"/>
      <c r="H404" s="14"/>
      <c r="I404" s="6"/>
      <c r="J404" s="6"/>
      <c r="K404" s="63"/>
      <c r="L404" s="6"/>
      <c r="M404" s="6"/>
      <c r="N404" s="6"/>
      <c r="O404" s="6"/>
      <c r="P404" s="6"/>
      <c r="Q404" s="6"/>
      <c r="R404" s="6"/>
      <c r="S404" s="6"/>
      <c r="T404" s="6"/>
      <c r="W404" s="18">
        <v>20</v>
      </c>
      <c r="Y404" s="19"/>
      <c r="Z404" s="19" t="s">
        <v>1</v>
      </c>
      <c r="AA404" s="19" t="s">
        <v>2</v>
      </c>
      <c r="AB404" s="19" t="s">
        <v>3</v>
      </c>
      <c r="AC404" s="19" t="s">
        <v>4</v>
      </c>
      <c r="AD404" s="19" t="s">
        <v>5</v>
      </c>
      <c r="AE404" s="19" t="s">
        <v>6</v>
      </c>
      <c r="AF404" s="19" t="s">
        <v>7</v>
      </c>
      <c r="AG404" s="19" t="s">
        <v>8</v>
      </c>
      <c r="AH404" s="19" t="s">
        <v>9</v>
      </c>
      <c r="AI404" s="19" t="s">
        <v>0</v>
      </c>
      <c r="AJ404" s="2"/>
      <c r="AW404" s="7"/>
    </row>
    <row r="405" spans="1:49" x14ac:dyDescent="0.25">
      <c r="A405" s="1"/>
      <c r="B405" s="6"/>
      <c r="C405" s="6"/>
      <c r="D405" s="63"/>
      <c r="E405" s="6"/>
      <c r="F405" s="6"/>
      <c r="G405" s="14"/>
      <c r="H405" s="14"/>
      <c r="I405" s="6"/>
      <c r="J405" s="6"/>
      <c r="K405" s="63"/>
      <c r="L405" s="6"/>
      <c r="M405" s="6"/>
      <c r="N405" s="6"/>
      <c r="O405" s="6"/>
      <c r="P405" s="6"/>
      <c r="Q405" s="6"/>
      <c r="R405" s="6"/>
      <c r="S405" s="6"/>
      <c r="T405" s="6"/>
      <c r="V405" s="2" t="str">
        <f>CONCATENATE(Z405)</f>
        <v>1. FC Köln</v>
      </c>
      <c r="W405" s="2">
        <f t="shared" ref="W405:W422" si="309">Y405</f>
        <v>14</v>
      </c>
      <c r="Y405" s="19">
        <f>RANK(AI405,$AI$405:$AI$422,0)+COUNTIF($AI$404:AI404,AI405)</f>
        <v>14</v>
      </c>
      <c r="Z405" s="19" t="str">
        <f t="shared" ref="Z405:Z422" si="310">CONCATENATE(Z5)</f>
        <v>1. FC Köln</v>
      </c>
      <c r="AA405" s="19">
        <f>COUNTIFS(F4:F221,Z405,G4:G221,"&gt;=0")+COUNTIFS(I4:I221,Z405,H4:H221,"&gt;=0")</f>
        <v>20</v>
      </c>
      <c r="AB405" s="19">
        <f>COUNTIFS(F4:F221,Z405,B4:B221,3)+COUNTIFS(I4:I221,Z405,M4:M221,3)</f>
        <v>7</v>
      </c>
      <c r="AC405" s="19">
        <f>COUNTIFS(F4:F221,Z405,B4:B221,1)+COUNTIFS(I4:I221,Z405,M4:M221,1)</f>
        <v>2</v>
      </c>
      <c r="AD405" s="19">
        <f>COUNTIFS(F4:F221,Z405,B4:B221,0)+COUNTIFS(I4:I221,Z405,M4:M221,0)</f>
        <v>11</v>
      </c>
      <c r="AE405" s="19">
        <f>SUMIF(F4:F221,Z405,G4:G221)+SUMIF(I4:I221,Z405,H4:H221)</f>
        <v>27</v>
      </c>
      <c r="AF405" s="19">
        <f>SUMIF(F4:F221,Z405,H4:H221)+SUMIF(I4:I221,Z405,G4:G221)</f>
        <v>38</v>
      </c>
      <c r="AG405" s="19">
        <f>+AE405-AF405</f>
        <v>-11</v>
      </c>
      <c r="AH405" s="19">
        <f>(AB405*3)+AC405</f>
        <v>23</v>
      </c>
      <c r="AI405" s="19">
        <f>SUM(AH405*1000+(AG405)/100+(AE405)/1000)</f>
        <v>22999.916999999998</v>
      </c>
      <c r="AJ405" s="2"/>
      <c r="AW405" s="7"/>
    </row>
    <row r="406" spans="1:49" x14ac:dyDescent="0.25">
      <c r="A406" s="1"/>
      <c r="B406" s="6"/>
      <c r="C406" s="6"/>
      <c r="D406" s="63"/>
      <c r="E406" s="6"/>
      <c r="F406" s="6"/>
      <c r="G406" s="14"/>
      <c r="H406" s="14"/>
      <c r="I406" s="6"/>
      <c r="J406" s="6"/>
      <c r="K406" s="63"/>
      <c r="L406" s="6"/>
      <c r="M406" s="6"/>
      <c r="N406" s="6"/>
      <c r="O406" s="6"/>
      <c r="P406" s="6"/>
      <c r="Q406" s="6"/>
      <c r="R406" s="6"/>
      <c r="S406" s="6"/>
      <c r="T406" s="6"/>
      <c r="V406" s="2" t="str">
        <f t="shared" ref="V406:V422" si="311">CONCATENATE(Z406)</f>
        <v>1. FC Union Berlin</v>
      </c>
      <c r="W406" s="2">
        <f t="shared" si="309"/>
        <v>12</v>
      </c>
      <c r="Y406" s="19">
        <f>RANK(AI406,$AI$405:$AI$422,0)+COUNTIF($AI$404:AI405,AI406)</f>
        <v>12</v>
      </c>
      <c r="Z406" s="19" t="str">
        <f t="shared" si="310"/>
        <v>1. FC Union Berlin</v>
      </c>
      <c r="AA406" s="19">
        <f>COUNTIFS(F4:F221,Z406,G4:G221,"&gt;=0")+COUNTIFS(I4:I221,Z406,H4:H221,"&gt;=0")</f>
        <v>20</v>
      </c>
      <c r="AB406" s="19">
        <f>COUNTIFS(F4:F221,Z406,B4:B221,3)+COUNTIFS(I4:I221,Z406,M4:M221,3)</f>
        <v>7</v>
      </c>
      <c r="AC406" s="19">
        <f>COUNTIFS(F4:F221,Z406,B4:B221,1)+COUNTIFS(I4:I221,Z406,M4:M221,1)</f>
        <v>2</v>
      </c>
      <c r="AD406" s="19">
        <f>COUNTIFS(F4:F221,Z406,B4:B221,0)+COUNTIFS(I4:I221,Z406,M4:M221,0)</f>
        <v>11</v>
      </c>
      <c r="AE406" s="19">
        <f>SUMIF(F4:F221,Z406,G4:G221)+SUMIF(I4:I221,Z406,H4:H221)</f>
        <v>23</v>
      </c>
      <c r="AF406" s="19">
        <f>SUMIF(F4:F221,Z406,H4:H221)+SUMIF(I4:I221,Z406,G4:G221)</f>
        <v>32</v>
      </c>
      <c r="AG406" s="19">
        <f>+AE406-AF406</f>
        <v>-9</v>
      </c>
      <c r="AH406" s="19">
        <f>(AB406*3)+AC406</f>
        <v>23</v>
      </c>
      <c r="AI406" s="19">
        <f t="shared" ref="AI406:AI422" si="312">SUM(AH406*1000+(AG406)/100+(AE406)/1000)</f>
        <v>22999.933000000001</v>
      </c>
      <c r="AJ406" s="2"/>
      <c r="AW406" s="7"/>
    </row>
    <row r="407" spans="1:49" x14ac:dyDescent="0.25">
      <c r="A407" s="1"/>
      <c r="B407" s="6"/>
      <c r="C407" s="6"/>
      <c r="D407" s="63"/>
      <c r="E407" s="6"/>
      <c r="F407" s="6"/>
      <c r="G407" s="14"/>
      <c r="H407" s="14"/>
      <c r="I407" s="6"/>
      <c r="J407" s="6"/>
      <c r="K407" s="63"/>
      <c r="L407" s="6"/>
      <c r="M407" s="6"/>
      <c r="N407" s="6"/>
      <c r="O407" s="6"/>
      <c r="P407" s="6"/>
      <c r="Q407" s="6"/>
      <c r="R407" s="6"/>
      <c r="S407" s="6"/>
      <c r="T407" s="6"/>
      <c r="V407" s="2" t="str">
        <f t="shared" si="311"/>
        <v>1. FSV Mainz 05</v>
      </c>
      <c r="W407" s="2">
        <f t="shared" si="309"/>
        <v>15</v>
      </c>
      <c r="Y407" s="19">
        <f>RANK(AI407,$AI$405:$AI$422,0)+COUNTIF($AI$404:AI406,AI407)</f>
        <v>15</v>
      </c>
      <c r="Z407" s="19" t="str">
        <f t="shared" si="310"/>
        <v>1. FSV Mainz 05</v>
      </c>
      <c r="AA407" s="19">
        <f>COUNTIFS(F4:F221,Z407,G4:G221,"&gt;=0")+COUNTIFS(I4:I221,Z407,H4:H221,"&gt;=0")</f>
        <v>20</v>
      </c>
      <c r="AB407" s="19">
        <f>COUNTIFS(F4:F221,Z407,B4:B221,3)+COUNTIFS(I4:I221,Z407,M4:M221,3)</f>
        <v>6</v>
      </c>
      <c r="AC407" s="19">
        <f>COUNTIFS(F4:F221,Z407,B4:B221,1)+COUNTIFS(I4:I221,Z407,M4:M221,1)</f>
        <v>0</v>
      </c>
      <c r="AD407" s="19">
        <f>COUNTIFS(F4:F221,Z407,B4:B221,0)+COUNTIFS(I4:I221,Z407,M4:M221,0)</f>
        <v>14</v>
      </c>
      <c r="AE407" s="19">
        <f>SUMIF(F4:F221,Z407,G4:G221)+SUMIF(I4:I221,Z407,H4:H221)</f>
        <v>28</v>
      </c>
      <c r="AF407" s="19">
        <f>SUMIF(F4:F221,Z407,H4:H221)+SUMIF(I4:I221,Z407,G4:G221)</f>
        <v>47</v>
      </c>
      <c r="AG407" s="19">
        <f>+AE407-AF407</f>
        <v>-19</v>
      </c>
      <c r="AH407" s="19">
        <f>(AB407*3)+AC407</f>
        <v>18</v>
      </c>
      <c r="AI407" s="19">
        <f t="shared" si="312"/>
        <v>17999.838</v>
      </c>
      <c r="AJ407" s="2"/>
      <c r="AW407" s="7"/>
    </row>
    <row r="408" spans="1:49" x14ac:dyDescent="0.25">
      <c r="A408" s="1"/>
      <c r="B408" s="6"/>
      <c r="C408" s="6"/>
      <c r="D408" s="63"/>
      <c r="E408" s="6"/>
      <c r="F408" s="6"/>
      <c r="G408" s="14"/>
      <c r="H408" s="14"/>
      <c r="I408" s="6"/>
      <c r="J408" s="6"/>
      <c r="K408" s="63"/>
      <c r="L408" s="6"/>
      <c r="M408" s="6"/>
      <c r="N408" s="6"/>
      <c r="O408" s="6"/>
      <c r="P408" s="6"/>
      <c r="Q408" s="6"/>
      <c r="R408" s="6"/>
      <c r="S408" s="6"/>
      <c r="T408" s="6"/>
      <c r="V408" s="2" t="str">
        <f t="shared" si="311"/>
        <v>1899 Hoffenheim</v>
      </c>
      <c r="W408" s="2">
        <f t="shared" si="309"/>
        <v>7</v>
      </c>
      <c r="Y408" s="19">
        <f>RANK(AI408,$AI$405:$AI$422,0)+COUNTIF($AI$404:AI407,AI408)</f>
        <v>7</v>
      </c>
      <c r="Z408" s="19" t="str">
        <f t="shared" si="310"/>
        <v>1899 Hoffenheim</v>
      </c>
      <c r="AA408" s="19">
        <f>COUNTIFS(F4:F221,Z408,G4:G221,"&gt;=0")+COUNTIFS(I4:I221,Z408,H4:H221,"&gt;=0")</f>
        <v>20</v>
      </c>
      <c r="AB408" s="19">
        <f>COUNTIFS(F4:F221,Z408,B4:B221,3)+COUNTIFS(I4:I221,Z408,M4:M221,3)</f>
        <v>10</v>
      </c>
      <c r="AC408" s="19">
        <f>COUNTIFS(F4:F221,Z408,B4:B221,1)+COUNTIFS(I4:I221,Z408,M4:M221,1)</f>
        <v>3</v>
      </c>
      <c r="AD408" s="19">
        <f>COUNTIFS(F4:F221,Z408,B4:B221,0)+COUNTIFS(I4:I221,Z408,M4:M221,0)</f>
        <v>7</v>
      </c>
      <c r="AE408" s="19">
        <f>SUMIF(F4:F221,Z408,G4:G221)+SUMIF(I4:I221,Z408,H4:H221)</f>
        <v>31</v>
      </c>
      <c r="AF408" s="19">
        <f>SUMIF(F4:F221,Z408,H4:H221)+SUMIF(I4:I221,Z408,G4:G221)</f>
        <v>31</v>
      </c>
      <c r="AG408" s="19">
        <f t="shared" ref="AG408:AG422" si="313">+AE408-AF408</f>
        <v>0</v>
      </c>
      <c r="AH408" s="19">
        <f>(AB408*3)+AC408</f>
        <v>33</v>
      </c>
      <c r="AI408" s="19">
        <f t="shared" si="312"/>
        <v>33000.031000000003</v>
      </c>
      <c r="AJ408" s="2"/>
      <c r="AW408" s="7"/>
    </row>
    <row r="409" spans="1:49" x14ac:dyDescent="0.25">
      <c r="A409" s="1"/>
      <c r="B409" s="6"/>
      <c r="C409" s="6"/>
      <c r="D409" s="63"/>
      <c r="E409" s="6"/>
      <c r="F409" s="6"/>
      <c r="G409" s="14"/>
      <c r="H409" s="14"/>
      <c r="I409" s="6"/>
      <c r="J409" s="6"/>
      <c r="K409" s="63"/>
      <c r="L409" s="6"/>
      <c r="M409" s="6"/>
      <c r="N409" s="6"/>
      <c r="O409" s="6"/>
      <c r="P409" s="6"/>
      <c r="Q409" s="6"/>
      <c r="R409" s="6"/>
      <c r="S409" s="6"/>
      <c r="T409" s="6"/>
      <c r="V409" s="2" t="str">
        <f t="shared" si="311"/>
        <v>Bayer Leverkusen</v>
      </c>
      <c r="W409" s="2">
        <f t="shared" si="309"/>
        <v>5</v>
      </c>
      <c r="Y409" s="19">
        <f>RANK(AI409,$AI$405:$AI$422,0)+COUNTIF($AI$404:AI408,AI409)</f>
        <v>5</v>
      </c>
      <c r="Z409" s="19" t="str">
        <f t="shared" si="310"/>
        <v>Bayer Leverkusen</v>
      </c>
      <c r="AA409" s="19">
        <f>COUNTIFS(F4:F221,Z409,G4:G221,"&gt;=0")+COUNTIFS(I4:I221,Z409,H4:H221,"&gt;=0")</f>
        <v>20</v>
      </c>
      <c r="AB409" s="19">
        <f>COUNTIFS(F4:F221,Z409,B4:B221,3)+COUNTIFS(I4:I221,Z409,M4:M221,3)</f>
        <v>10</v>
      </c>
      <c r="AC409" s="19">
        <f>COUNTIFS(F4:F221,Z409,B4:B221,1)+COUNTIFS(I4:I221,Z409,M4:M221,1)</f>
        <v>4</v>
      </c>
      <c r="AD409" s="19">
        <f>COUNTIFS(F4:F221,Z409,B4:B221,0)+COUNTIFS(I4:I221,Z409,M4:M221,0)</f>
        <v>6</v>
      </c>
      <c r="AE409" s="19">
        <f>SUMIF(F4:F221,Z409,G4:G221)+SUMIF(I4:I221,Z409,H4:H221)</f>
        <v>31</v>
      </c>
      <c r="AF409" s="19">
        <f>SUMIF(F4:F221,Z409,H4:H221)+SUMIF(I4:I221,Z409,G4:G221)</f>
        <v>24</v>
      </c>
      <c r="AG409" s="19">
        <f t="shared" si="313"/>
        <v>7</v>
      </c>
      <c r="AH409" s="19">
        <f>(AB409*3)+AC409</f>
        <v>34</v>
      </c>
      <c r="AI409" s="19">
        <f t="shared" si="312"/>
        <v>34000.101000000002</v>
      </c>
      <c r="AJ409" s="2"/>
      <c r="AW409" s="7"/>
    </row>
    <row r="410" spans="1:49" x14ac:dyDescent="0.25">
      <c r="A410" s="1"/>
      <c r="B410" s="6"/>
      <c r="C410" s="6"/>
      <c r="D410" s="63"/>
      <c r="E410" s="6"/>
      <c r="F410" s="8"/>
      <c r="G410" s="8"/>
      <c r="H410" s="8"/>
      <c r="I410" s="8"/>
      <c r="J410" s="6"/>
      <c r="K410" s="63"/>
      <c r="L410" s="6"/>
      <c r="M410" s="6"/>
      <c r="N410" s="6"/>
      <c r="O410" s="6"/>
      <c r="P410" s="6"/>
      <c r="Q410" s="6"/>
      <c r="R410" s="6"/>
      <c r="S410" s="6"/>
      <c r="T410" s="6"/>
      <c r="V410" s="2" t="str">
        <f t="shared" si="311"/>
        <v>Bayern München</v>
      </c>
      <c r="W410" s="2">
        <f t="shared" si="309"/>
        <v>1</v>
      </c>
      <c r="Y410" s="19">
        <f>RANK(AI410,$AI$405:$AI$422,0)+COUNTIF($AI$404:AI409,AI410)</f>
        <v>1</v>
      </c>
      <c r="Z410" s="19" t="str">
        <f t="shared" si="310"/>
        <v>Bayern München</v>
      </c>
      <c r="AA410" s="19">
        <f>COUNTIFS(F4:F221,Z410,G4:G221,"&gt;=0")+COUNTIFS(I4:I221,Z410,H4:H221,"&gt;=0")</f>
        <v>20</v>
      </c>
      <c r="AB410" s="19">
        <f>COUNTIFS(F4:F221,Z410,B4:B221,3)+COUNTIFS(I4:I221,Z410,M4:M221,3)</f>
        <v>13</v>
      </c>
      <c r="AC410" s="19">
        <f>COUNTIFS(F4:F221,Z410,B4:B221,1)+COUNTIFS(I4:I221,Z410,M4:M221,1)</f>
        <v>3</v>
      </c>
      <c r="AD410" s="19">
        <f>COUNTIFS(F4:F221,Z410,B4:B221,0)+COUNTIFS(I4:I221,Z410,M4:M221,0)</f>
        <v>4</v>
      </c>
      <c r="AE410" s="19">
        <f>SUMIF(F4:F221,Z410,G4:G221)+SUMIF(I4:I221,Z410,H4:H221)</f>
        <v>58</v>
      </c>
      <c r="AF410" s="19">
        <f>SUMIF(F4:F221,Z410,H4:H221)+SUMIF(I4:I221,Z410,G4:G221)</f>
        <v>23</v>
      </c>
      <c r="AG410" s="19">
        <f t="shared" si="313"/>
        <v>35</v>
      </c>
      <c r="AH410" s="19">
        <f t="shared" ref="AH410:AH422" si="314">(AB410*3)+AC410</f>
        <v>42</v>
      </c>
      <c r="AI410" s="19">
        <f t="shared" si="312"/>
        <v>42000.407999999996</v>
      </c>
      <c r="AJ410" s="2"/>
      <c r="AW410" s="7"/>
    </row>
    <row r="411" spans="1:49" x14ac:dyDescent="0.25">
      <c r="A411" s="1"/>
      <c r="B411" s="6"/>
      <c r="C411" s="6"/>
      <c r="D411" s="63"/>
      <c r="E411" s="6"/>
      <c r="F411" s="6"/>
      <c r="G411" s="14"/>
      <c r="H411" s="14"/>
      <c r="I411" s="6"/>
      <c r="J411" s="6"/>
      <c r="K411" s="63"/>
      <c r="L411" s="6"/>
      <c r="M411" s="6"/>
      <c r="N411" s="6"/>
      <c r="O411" s="6"/>
      <c r="P411" s="6"/>
      <c r="Q411" s="6"/>
      <c r="R411" s="6"/>
      <c r="S411" s="6"/>
      <c r="T411" s="6"/>
      <c r="V411" s="2" t="str">
        <f t="shared" si="311"/>
        <v>Bor. Mönchengladbach</v>
      </c>
      <c r="W411" s="2">
        <f t="shared" si="309"/>
        <v>4</v>
      </c>
      <c r="Y411" s="19">
        <f>RANK(AI411,$AI$405:$AI$422,0)+COUNTIF($AI$404:AI410,AI411)</f>
        <v>4</v>
      </c>
      <c r="Z411" s="19" t="str">
        <f t="shared" si="310"/>
        <v>Bor. Mönchengladbach</v>
      </c>
      <c r="AA411" s="19">
        <f>COUNTIFS(F4:F221,Z411,G4:G221,"&gt;=0")+COUNTIFS(I4:I221,Z411,H4:H221,"&gt;=0")</f>
        <v>20</v>
      </c>
      <c r="AB411" s="19">
        <f>COUNTIFS(F4:F221,Z411,B4:B221,3)+COUNTIFS(I4:I221,Z411,M4:M221,3)</f>
        <v>12</v>
      </c>
      <c r="AC411" s="19">
        <f>COUNTIFS(F4:F221,Z411,B4:B221,1)+COUNTIFS(I4:I221,Z411,M4:M221,1)</f>
        <v>3</v>
      </c>
      <c r="AD411" s="19">
        <f>COUNTIFS(F4:F221,Z411,B4:B221,0)+COUNTIFS(I4:I221,Z411,M4:M221,0)</f>
        <v>5</v>
      </c>
      <c r="AE411" s="19">
        <f>SUMIF(F4:F221,Z411,G4:G221)+SUMIF(I4:I221,Z411,H4:H221)</f>
        <v>38</v>
      </c>
      <c r="AF411" s="19">
        <f>SUMIF(F4:F221,Z411,H4:H221)+SUMIF(I4:I221,Z411,G4:G221)</f>
        <v>23</v>
      </c>
      <c r="AG411" s="19">
        <f t="shared" si="313"/>
        <v>15</v>
      </c>
      <c r="AH411" s="19">
        <f t="shared" si="314"/>
        <v>39</v>
      </c>
      <c r="AI411" s="19">
        <f t="shared" si="312"/>
        <v>39000.188000000002</v>
      </c>
      <c r="AJ411" s="2"/>
      <c r="AW411" s="7"/>
    </row>
    <row r="412" spans="1:49" x14ac:dyDescent="0.25">
      <c r="A412" s="1"/>
      <c r="B412" s="6"/>
      <c r="C412" s="6"/>
      <c r="D412" s="63"/>
      <c r="E412" s="6"/>
      <c r="F412" s="6"/>
      <c r="G412" s="14"/>
      <c r="H412" s="14"/>
      <c r="I412" s="6"/>
      <c r="J412" s="6"/>
      <c r="K412" s="63"/>
      <c r="L412" s="6"/>
      <c r="M412" s="6"/>
      <c r="N412" s="6"/>
      <c r="O412" s="6"/>
      <c r="P412" s="6"/>
      <c r="Q412" s="6"/>
      <c r="R412" s="6"/>
      <c r="S412" s="6"/>
      <c r="T412" s="6"/>
      <c r="V412" s="2" t="str">
        <f t="shared" si="311"/>
        <v>Borussia Dortmund</v>
      </c>
      <c r="W412" s="2">
        <f t="shared" si="309"/>
        <v>3</v>
      </c>
      <c r="Y412" s="19">
        <f>RANK(AI412,$AI$405:$AI$422,0)+COUNTIF($AI$404:AI411,AI412)</f>
        <v>3</v>
      </c>
      <c r="Z412" s="19" t="str">
        <f t="shared" si="310"/>
        <v>Borussia Dortmund</v>
      </c>
      <c r="AA412" s="19">
        <f>COUNTIFS(F4:F221,Z412,G4:G221,"&gt;=0")+COUNTIFS(I4:I221,Z412,H4:H221,"&gt;=0")</f>
        <v>20</v>
      </c>
      <c r="AB412" s="19">
        <f>COUNTIFS(F4:F221,Z412,B4:B221,3)+COUNTIFS(I4:I221,Z412,M4:M221,3)</f>
        <v>11</v>
      </c>
      <c r="AC412" s="19">
        <f>COUNTIFS(F4:F221,Z412,B4:B221,1)+COUNTIFS(I4:I221,Z412,M4:M221,1)</f>
        <v>6</v>
      </c>
      <c r="AD412" s="19">
        <f>COUNTIFS(F4:F221,Z412,B4:B221,0)+COUNTIFS(I4:I221,Z412,M4:M221,0)</f>
        <v>3</v>
      </c>
      <c r="AE412" s="19">
        <f>SUMIF(F4:F221,Z412,G4:G221)+SUMIF(I4:I221,Z412,H4:H221)</f>
        <v>56</v>
      </c>
      <c r="AF412" s="19">
        <f>SUMIF(F4:F221,Z412,H4:H221)+SUMIF(I4:I221,Z412,G4:G221)</f>
        <v>28</v>
      </c>
      <c r="AG412" s="19">
        <f t="shared" si="313"/>
        <v>28</v>
      </c>
      <c r="AH412" s="19">
        <f t="shared" si="314"/>
        <v>39</v>
      </c>
      <c r="AI412" s="19">
        <f t="shared" si="312"/>
        <v>39000.335999999996</v>
      </c>
      <c r="AJ412" s="2"/>
      <c r="AW412" s="7"/>
    </row>
    <row r="413" spans="1:49" x14ac:dyDescent="0.25">
      <c r="A413" s="1"/>
      <c r="B413" s="6"/>
      <c r="C413" s="6"/>
      <c r="D413" s="63"/>
      <c r="E413" s="6"/>
      <c r="F413" s="6"/>
      <c r="G413" s="14"/>
      <c r="H413" s="14"/>
      <c r="I413" s="6"/>
      <c r="J413" s="6"/>
      <c r="K413" s="63"/>
      <c r="L413" s="6"/>
      <c r="M413" s="6"/>
      <c r="N413" s="6"/>
      <c r="O413" s="6"/>
      <c r="P413" s="6"/>
      <c r="Q413" s="6"/>
      <c r="R413" s="6"/>
      <c r="S413" s="6"/>
      <c r="T413" s="6"/>
      <c r="V413" s="2" t="str">
        <f t="shared" si="311"/>
        <v>Eintracht Frankfurt</v>
      </c>
      <c r="W413" s="2">
        <f t="shared" si="309"/>
        <v>11</v>
      </c>
      <c r="Y413" s="19">
        <f>RANK(AI413,$AI$405:$AI$422,0)+COUNTIF($AI$404:AI412,AI413)</f>
        <v>11</v>
      </c>
      <c r="Z413" s="19" t="str">
        <f t="shared" si="310"/>
        <v>Eintracht Frankfurt</v>
      </c>
      <c r="AA413" s="19">
        <f>COUNTIFS(F4:F221,Z413,G4:G221,"&gt;=0")+COUNTIFS(I4:I221,Z413,H4:H221,"&gt;=0")</f>
        <v>20</v>
      </c>
      <c r="AB413" s="19">
        <f>COUNTIFS(F4:F221,Z413,B4:B221,3)+COUNTIFS(I4:I221,Z413,M4:M221,3)</f>
        <v>7</v>
      </c>
      <c r="AC413" s="19">
        <f>COUNTIFS(F4:F221,Z413,B4:B221,1)+COUNTIFS(I4:I221,Z413,M4:M221,1)</f>
        <v>4</v>
      </c>
      <c r="AD413" s="19">
        <f>COUNTIFS(F4:F221,Z413,B4:B221,0)+COUNTIFS(I4:I221,Z413,M4:M221,0)</f>
        <v>9</v>
      </c>
      <c r="AE413" s="19">
        <f>SUMIF(F4:F221,Z413,G4:G221)+SUMIF(I4:I221,Z413,H4:H221)</f>
        <v>32</v>
      </c>
      <c r="AF413" s="19">
        <f>SUMIF(F4:F221,Z413,H4:H221)+SUMIF(I4:I221,Z413,G4:G221)</f>
        <v>31</v>
      </c>
      <c r="AG413" s="19">
        <f t="shared" si="313"/>
        <v>1</v>
      </c>
      <c r="AH413" s="19">
        <f t="shared" si="314"/>
        <v>25</v>
      </c>
      <c r="AI413" s="19">
        <f t="shared" si="312"/>
        <v>25000.041999999998</v>
      </c>
      <c r="AJ413" s="2"/>
      <c r="AW413" s="7"/>
    </row>
    <row r="414" spans="1:49" x14ac:dyDescent="0.25">
      <c r="A414" s="1"/>
      <c r="B414" s="6"/>
      <c r="C414" s="6"/>
      <c r="D414" s="63"/>
      <c r="E414" s="6"/>
      <c r="F414" s="6"/>
      <c r="G414" s="14"/>
      <c r="H414" s="14"/>
      <c r="I414" s="6"/>
      <c r="J414" s="6"/>
      <c r="K414" s="63"/>
      <c r="L414" s="6"/>
      <c r="M414" s="6"/>
      <c r="N414" s="6"/>
      <c r="O414" s="6"/>
      <c r="P414" s="6"/>
      <c r="Q414" s="6"/>
      <c r="R414" s="6"/>
      <c r="S414" s="6"/>
      <c r="T414" s="6"/>
      <c r="V414" s="2" t="str">
        <f t="shared" si="311"/>
        <v>FC Augsburg</v>
      </c>
      <c r="W414" s="2">
        <f t="shared" si="309"/>
        <v>10</v>
      </c>
      <c r="Y414" s="19">
        <f>RANK(AI414,$AI$405:$AI$422,0)+COUNTIF($AI$404:AI413,AI414)</f>
        <v>10</v>
      </c>
      <c r="Z414" s="19" t="str">
        <f t="shared" si="310"/>
        <v>FC Augsburg</v>
      </c>
      <c r="AA414" s="19">
        <f>COUNTIFS(F4:F221,Z414,G4:G221,"&gt;=0")+COUNTIFS(I4:I221,Z414,H4:H221,"&gt;=0")</f>
        <v>20</v>
      </c>
      <c r="AB414" s="19">
        <f>COUNTIFS(F4:F221,Z414,B4:B221,3)+COUNTIFS(I4:I221,Z414,M4:M221,3)</f>
        <v>7</v>
      </c>
      <c r="AC414" s="19">
        <f>COUNTIFS(F4:F221,Z414,B4:B221,1)+COUNTIFS(I4:I221,Z414,M4:M221,1)</f>
        <v>5</v>
      </c>
      <c r="AD414" s="19">
        <f>COUNTIFS(F4:F221,Z414,B4:B221,0)+COUNTIFS(I4:I221,Z414,M4:M221,0)</f>
        <v>8</v>
      </c>
      <c r="AE414" s="19">
        <f>SUMIF(F4:F221,Z414,G4:G221)+SUMIF(I4:I221,Z414,H4:H221)</f>
        <v>33</v>
      </c>
      <c r="AF414" s="19">
        <f>SUMIF(F4:F221,Z414,H4:H221)+SUMIF(I4:I221,Z414,G4:G221)</f>
        <v>39</v>
      </c>
      <c r="AG414" s="19">
        <f t="shared" si="313"/>
        <v>-6</v>
      </c>
      <c r="AH414" s="19">
        <f t="shared" si="314"/>
        <v>26</v>
      </c>
      <c r="AI414" s="19">
        <f t="shared" si="312"/>
        <v>25999.972999999998</v>
      </c>
      <c r="AJ414" s="2"/>
      <c r="AW414" s="7"/>
    </row>
    <row r="415" spans="1:49" x14ac:dyDescent="0.25">
      <c r="A415" s="1"/>
      <c r="B415" s="6"/>
      <c r="C415" s="6"/>
      <c r="D415" s="63"/>
      <c r="E415" s="6"/>
      <c r="F415" s="6"/>
      <c r="G415" s="14"/>
      <c r="H415" s="14"/>
      <c r="I415" s="6"/>
      <c r="J415" s="6"/>
      <c r="K415" s="63"/>
      <c r="L415" s="6"/>
      <c r="M415" s="6"/>
      <c r="N415" s="6"/>
      <c r="O415" s="6"/>
      <c r="P415" s="6"/>
      <c r="Q415" s="6"/>
      <c r="R415" s="6"/>
      <c r="S415" s="6"/>
      <c r="T415" s="6"/>
      <c r="V415" s="2" t="str">
        <f t="shared" si="311"/>
        <v>FC Schalke 04</v>
      </c>
      <c r="W415" s="2">
        <f t="shared" si="309"/>
        <v>6</v>
      </c>
      <c r="Y415" s="19">
        <f>RANK(AI415,$AI$405:$AI$422,0)+COUNTIF($AI$404:AI414,AI415)</f>
        <v>6</v>
      </c>
      <c r="Z415" s="19" t="str">
        <f t="shared" si="310"/>
        <v>FC Schalke 04</v>
      </c>
      <c r="AA415" s="19">
        <f>COUNTIFS(F4:F221,Z415,G4:G221,"&gt;=0")+COUNTIFS(I4:I221,Z415,H4:H221,"&gt;=0")</f>
        <v>20</v>
      </c>
      <c r="AB415" s="19">
        <f>COUNTIFS(F4:F221,Z415,B4:B221,3)+COUNTIFS(I4:I221,Z415,M4:M221,3)</f>
        <v>9</v>
      </c>
      <c r="AC415" s="19">
        <f>COUNTIFS(F4:F221,Z415,B4:B221,1)+COUNTIFS(I4:I221,Z415,M4:M221,1)</f>
        <v>7</v>
      </c>
      <c r="AD415" s="19">
        <f>COUNTIFS(F4:F221,Z415,B4:B221,0)+COUNTIFS(I4:I221,Z415,M4:M221,0)</f>
        <v>4</v>
      </c>
      <c r="AE415" s="19">
        <f>SUMIF(F4:F221,Z415,G4:G221)+SUMIF(I4:I221,Z415,H4:H221)</f>
        <v>31</v>
      </c>
      <c r="AF415" s="19">
        <f>SUMIF(F4:F221,Z415,H4:H221)+SUMIF(I4:I221,Z415,G4:G221)</f>
        <v>26</v>
      </c>
      <c r="AG415" s="19">
        <f t="shared" si="313"/>
        <v>5</v>
      </c>
      <c r="AH415" s="19">
        <f t="shared" si="314"/>
        <v>34</v>
      </c>
      <c r="AI415" s="19">
        <f t="shared" si="312"/>
        <v>34000.081000000006</v>
      </c>
      <c r="AJ415" s="2"/>
      <c r="AW415" s="7"/>
    </row>
    <row r="416" spans="1:49" x14ac:dyDescent="0.25">
      <c r="A416" s="1"/>
      <c r="B416" s="6"/>
      <c r="C416" s="6"/>
      <c r="D416" s="63"/>
      <c r="E416" s="6"/>
      <c r="F416" s="6"/>
      <c r="G416" s="14"/>
      <c r="H416" s="14"/>
      <c r="I416" s="6"/>
      <c r="J416" s="6"/>
      <c r="K416" s="63"/>
      <c r="L416" s="6"/>
      <c r="M416" s="6"/>
      <c r="N416" s="6"/>
      <c r="O416" s="6"/>
      <c r="P416" s="6"/>
      <c r="Q416" s="6"/>
      <c r="R416" s="6"/>
      <c r="S416" s="6"/>
      <c r="T416" s="6"/>
      <c r="V416" s="2" t="str">
        <f t="shared" si="311"/>
        <v>Fortuna Düsseldorf</v>
      </c>
      <c r="W416" s="2">
        <f t="shared" si="309"/>
        <v>17</v>
      </c>
      <c r="Y416" s="19">
        <f>RANK(AI416,$AI$405:$AI$422,0)+COUNTIF($AI$404:AI415,AI416)</f>
        <v>17</v>
      </c>
      <c r="Z416" s="19" t="str">
        <f t="shared" si="310"/>
        <v>Fortuna Düsseldorf</v>
      </c>
      <c r="AA416" s="19">
        <f>COUNTIFS(F4:F221,Z416,G4:G221,"&gt;=0")+COUNTIFS(I4:I221,Z416,H4:H221,"&gt;=0")</f>
        <v>20</v>
      </c>
      <c r="AB416" s="19">
        <f>COUNTIFS(F4:F221,Z416,B4:B221,3)+COUNTIFS(I4:I221,Z416,M4:M221,3)</f>
        <v>4</v>
      </c>
      <c r="AC416" s="19">
        <f>COUNTIFS(F4:F221,Z416,B4:B221,1)+COUNTIFS(I4:I221,Z416,M4:M221,1)</f>
        <v>4</v>
      </c>
      <c r="AD416" s="19">
        <f>COUNTIFS(F4:F221,Z416,B4:B221,0)+COUNTIFS(I4:I221,Z416,M4:M221,0)</f>
        <v>12</v>
      </c>
      <c r="AE416" s="19">
        <f>SUMIF(F4:F221,Z416,G4:G221)+SUMIF(I4:I221,Z416,H4:H221)</f>
        <v>19</v>
      </c>
      <c r="AF416" s="19">
        <f>SUMIF(F4:F221,Z416,H4:H221)+SUMIF(I4:I221,Z416,G4:G221)</f>
        <v>41</v>
      </c>
      <c r="AG416" s="19">
        <f t="shared" si="313"/>
        <v>-22</v>
      </c>
      <c r="AH416" s="19">
        <f t="shared" si="314"/>
        <v>16</v>
      </c>
      <c r="AI416" s="19">
        <f t="shared" si="312"/>
        <v>15999.799000000001</v>
      </c>
      <c r="AJ416" s="2"/>
      <c r="AW416" s="7"/>
    </row>
    <row r="417" spans="1:49" x14ac:dyDescent="0.25">
      <c r="A417" s="1"/>
      <c r="B417" s="6"/>
      <c r="C417" s="6"/>
      <c r="D417" s="63"/>
      <c r="E417" s="6"/>
      <c r="F417" s="6"/>
      <c r="G417" s="14"/>
      <c r="H417" s="14"/>
      <c r="I417" s="6"/>
      <c r="J417" s="6"/>
      <c r="K417" s="63"/>
      <c r="L417" s="6"/>
      <c r="M417" s="6"/>
      <c r="N417" s="6"/>
      <c r="O417" s="6"/>
      <c r="P417" s="6"/>
      <c r="Q417" s="6"/>
      <c r="R417" s="6"/>
      <c r="S417" s="6"/>
      <c r="T417" s="6"/>
      <c r="V417" s="2" t="str">
        <f t="shared" si="311"/>
        <v>Hertha BSC</v>
      </c>
      <c r="W417" s="2">
        <f t="shared" si="309"/>
        <v>13</v>
      </c>
      <c r="Y417" s="19">
        <f>RANK(AI417,$AI$405:$AI$422,0)+COUNTIF($AI$404:AI416,AI417)</f>
        <v>13</v>
      </c>
      <c r="Z417" s="19" t="str">
        <f t="shared" si="310"/>
        <v>Hertha BSC</v>
      </c>
      <c r="AA417" s="19">
        <f>COUNTIFS(F4:F221,Z417,G4:G221,"&gt;=0")+COUNTIFS(I4:I221,Z417,H4:H221,"&gt;=0")</f>
        <v>20</v>
      </c>
      <c r="AB417" s="19">
        <f>COUNTIFS(F4:F221,Z417,B4:B221,3)+COUNTIFS(I4:I221,Z417,M4:M221,3)</f>
        <v>6</v>
      </c>
      <c r="AC417" s="19">
        <f>COUNTIFS(F4:F221,Z417,B4:B221,1)+COUNTIFS(I4:I221,Z417,M4:M221,1)</f>
        <v>5</v>
      </c>
      <c r="AD417" s="19">
        <f>COUNTIFS(F4:F221,Z417,B4:B221,0)+COUNTIFS(I4:I221,Z417,M4:M221,0)</f>
        <v>9</v>
      </c>
      <c r="AE417" s="19">
        <f>SUMIF(F4:F221,Z417,G4:G221)+SUMIF(I4:I221,Z417,H4:H221)</f>
        <v>24</v>
      </c>
      <c r="AF417" s="19">
        <f>SUMIF(F4:F221,Z417,H4:H221)+SUMIF(I4:I221,Z417,G4:G221)</f>
        <v>34</v>
      </c>
      <c r="AG417" s="19">
        <f t="shared" si="313"/>
        <v>-10</v>
      </c>
      <c r="AH417" s="19">
        <f t="shared" si="314"/>
        <v>23</v>
      </c>
      <c r="AI417" s="19">
        <f t="shared" si="312"/>
        <v>22999.924000000003</v>
      </c>
      <c r="AJ417" s="2"/>
      <c r="AW417" s="7"/>
    </row>
    <row r="418" spans="1:49" x14ac:dyDescent="0.25">
      <c r="A418" s="1"/>
      <c r="B418" s="6"/>
      <c r="C418" s="6"/>
      <c r="D418" s="63"/>
      <c r="E418" s="6"/>
      <c r="F418" s="6"/>
      <c r="G418" s="14"/>
      <c r="H418" s="14"/>
      <c r="I418" s="6"/>
      <c r="J418" s="6"/>
      <c r="K418" s="63"/>
      <c r="L418" s="6"/>
      <c r="M418" s="6"/>
      <c r="N418" s="6"/>
      <c r="O418" s="6"/>
      <c r="P418" s="6"/>
      <c r="Q418" s="6"/>
      <c r="R418" s="6"/>
      <c r="S418" s="6"/>
      <c r="T418" s="6"/>
      <c r="V418" s="2" t="str">
        <f t="shared" si="311"/>
        <v>RB Leipzig</v>
      </c>
      <c r="W418" s="2">
        <f t="shared" si="309"/>
        <v>2</v>
      </c>
      <c r="Y418" s="19">
        <f>RANK(AI418,$AI$405:$AI$422,0)+COUNTIF($AI$404:AI417,AI418)</f>
        <v>2</v>
      </c>
      <c r="Z418" s="19" t="str">
        <f t="shared" si="310"/>
        <v>RB Leipzig</v>
      </c>
      <c r="AA418" s="19">
        <f>COUNTIFS(F4:F221,Z418,G4:G221,"&gt;=0")+COUNTIFS(I4:I221,Z418,H4:H221,"&gt;=0")</f>
        <v>20</v>
      </c>
      <c r="AB418" s="19">
        <f>COUNTIFS(F4:F221,Z418,B4:B221,3)+COUNTIFS(I4:I221,Z418,M4:M221,3)</f>
        <v>12</v>
      </c>
      <c r="AC418" s="19">
        <f>COUNTIFS(F4:F221,Z418,B4:B221,1)+COUNTIFS(I4:I221,Z418,M4:M221,1)</f>
        <v>5</v>
      </c>
      <c r="AD418" s="19">
        <f>COUNTIFS(F4:F221,Z418,B4:B221,0)+COUNTIFS(I4:I221,Z418,M4:M221,0)</f>
        <v>3</v>
      </c>
      <c r="AE418" s="19">
        <f>SUMIF(F4:F221,Z418,G4:G221)+SUMIF(I4:I221,Z418,H4:H221)</f>
        <v>53</v>
      </c>
      <c r="AF418" s="19">
        <f>SUMIF(F4:F221,Z418,H4:H221)+SUMIF(I4:I221,Z418,G4:G221)</f>
        <v>25</v>
      </c>
      <c r="AG418" s="19">
        <f t="shared" si="313"/>
        <v>28</v>
      </c>
      <c r="AH418" s="19">
        <f t="shared" si="314"/>
        <v>41</v>
      </c>
      <c r="AI418" s="19">
        <f t="shared" si="312"/>
        <v>41000.332999999999</v>
      </c>
      <c r="AJ418" s="2"/>
      <c r="AW418" s="7"/>
    </row>
    <row r="419" spans="1:49" x14ac:dyDescent="0.25">
      <c r="A419" s="1"/>
      <c r="B419" s="6"/>
      <c r="C419" s="6"/>
      <c r="D419" s="63"/>
      <c r="E419" s="6"/>
      <c r="F419" s="6"/>
      <c r="G419" s="14"/>
      <c r="H419" s="14"/>
      <c r="I419" s="6"/>
      <c r="J419" s="6"/>
      <c r="K419" s="63"/>
      <c r="L419" s="6"/>
      <c r="M419" s="6"/>
      <c r="N419" s="6"/>
      <c r="O419" s="6"/>
      <c r="P419" s="6"/>
      <c r="Q419" s="6"/>
      <c r="R419" s="6"/>
      <c r="S419" s="6"/>
      <c r="T419" s="6"/>
      <c r="V419" s="2" t="str">
        <f t="shared" si="311"/>
        <v>SC Freiburg</v>
      </c>
      <c r="W419" s="2">
        <f t="shared" si="309"/>
        <v>8</v>
      </c>
      <c r="Y419" s="19">
        <f>RANK(AI419,$AI$405:$AI$422,0)+COUNTIF($AI$404:AI418,AI419)</f>
        <v>8</v>
      </c>
      <c r="Z419" s="19" t="str">
        <f t="shared" si="310"/>
        <v>SC Freiburg</v>
      </c>
      <c r="AA419" s="19">
        <f>COUNTIFS(F4:F221,Z419,G4:G221,"&gt;=0")+COUNTIFS(I4:I221,Z419,H4:H221,"&gt;=0")</f>
        <v>20</v>
      </c>
      <c r="AB419" s="19">
        <f>COUNTIFS(F4:F221,Z419,B4:B221,3)+COUNTIFS(I4:I221,Z419,M4:M221,3)</f>
        <v>8</v>
      </c>
      <c r="AC419" s="19">
        <f>COUNTIFS(F4:F221,Z419,B4:B221,1)+COUNTIFS(I4:I221,Z419,M4:M221,1)</f>
        <v>5</v>
      </c>
      <c r="AD419" s="19">
        <f>COUNTIFS(F4:F221,Z419,B4:B221,0)+COUNTIFS(I4:I221,Z419,M4:M221,0)</f>
        <v>7</v>
      </c>
      <c r="AE419" s="19">
        <f>SUMIF(F4:F221,Z419,G4:G221)+SUMIF(I4:I221,Z419,H4:H221)</f>
        <v>29</v>
      </c>
      <c r="AF419" s="19">
        <f>SUMIF(F4:F221,Z419,H4:H221)+SUMIF(I4:I221,Z419,G4:G221)</f>
        <v>30</v>
      </c>
      <c r="AG419" s="19">
        <f t="shared" si="313"/>
        <v>-1</v>
      </c>
      <c r="AH419" s="19">
        <f t="shared" si="314"/>
        <v>29</v>
      </c>
      <c r="AI419" s="19">
        <f t="shared" si="312"/>
        <v>29000.019</v>
      </c>
      <c r="AJ419" s="2"/>
      <c r="AW419" s="7"/>
    </row>
    <row r="420" spans="1:49" x14ac:dyDescent="0.25">
      <c r="A420" s="1"/>
      <c r="B420" s="6"/>
      <c r="C420" s="6"/>
      <c r="D420" s="63"/>
      <c r="E420" s="6"/>
      <c r="F420" s="7"/>
      <c r="G420" s="22"/>
      <c r="H420" s="22"/>
      <c r="I420" s="7"/>
      <c r="J420" s="7"/>
      <c r="K420" s="63"/>
      <c r="L420" s="6"/>
      <c r="M420" s="6"/>
      <c r="N420" s="6"/>
      <c r="O420" s="6"/>
      <c r="P420" s="6"/>
      <c r="Q420" s="6"/>
      <c r="R420" s="6"/>
      <c r="S420" s="6"/>
      <c r="T420" s="6"/>
      <c r="V420" s="2" t="str">
        <f t="shared" si="311"/>
        <v>SC Paderborn 07</v>
      </c>
      <c r="W420" s="2">
        <f t="shared" si="309"/>
        <v>18</v>
      </c>
      <c r="Y420" s="19">
        <f>RANK(AI420,$AI$405:$AI$422,0)+COUNTIF($AI$404:AI419,AI420)</f>
        <v>18</v>
      </c>
      <c r="Z420" s="19" t="str">
        <f t="shared" si="310"/>
        <v>SC Paderborn 07</v>
      </c>
      <c r="AA420" s="19">
        <f>COUNTIFS(F4:F221,Z420,G4:G221,"&gt;=0")+COUNTIFS(I4:I221,Z420,H4:H221,"&gt;=0")</f>
        <v>20</v>
      </c>
      <c r="AB420" s="19">
        <f>COUNTIFS(F4:F221,Z420,B4:B221,3)+COUNTIFS(I4:I221,Z420,M4:M221,3)</f>
        <v>4</v>
      </c>
      <c r="AC420" s="19">
        <f>COUNTIFS(F4:F221,Z420,B4:B221,1)+COUNTIFS(I4:I221,Z420,M4:M221,1)</f>
        <v>3</v>
      </c>
      <c r="AD420" s="19">
        <f>COUNTIFS(F4:F221,Z420,B4:B221,0)+COUNTIFS(I4:I221,Z420,M4:M221,0)</f>
        <v>13</v>
      </c>
      <c r="AE420" s="19">
        <f>SUMIF(F4:F221,Z420,G4:G221)+SUMIF(I4:I221,Z420,H4:H221)</f>
        <v>25</v>
      </c>
      <c r="AF420" s="19">
        <f>SUMIF(F4:F221,Z420,H4:H221)+SUMIF(I4:I221,Z420,G4:G221)</f>
        <v>44</v>
      </c>
      <c r="AG420" s="19">
        <f t="shared" si="313"/>
        <v>-19</v>
      </c>
      <c r="AH420" s="19">
        <f t="shared" si="314"/>
        <v>15</v>
      </c>
      <c r="AI420" s="19">
        <f t="shared" si="312"/>
        <v>14999.834999999999</v>
      </c>
      <c r="AJ420" s="2"/>
      <c r="AW420" s="7"/>
    </row>
    <row r="421" spans="1:49" x14ac:dyDescent="0.25">
      <c r="A421" s="1"/>
      <c r="B421" s="6"/>
      <c r="C421" s="6"/>
      <c r="D421" s="63"/>
      <c r="E421" s="6"/>
      <c r="F421" s="7"/>
      <c r="G421" s="22"/>
      <c r="H421" s="22"/>
      <c r="I421" s="7"/>
      <c r="J421" s="7"/>
      <c r="K421" s="63"/>
      <c r="L421" s="6"/>
      <c r="M421" s="6"/>
      <c r="N421" s="6"/>
      <c r="O421" s="6"/>
      <c r="P421" s="6"/>
      <c r="Q421" s="6"/>
      <c r="R421" s="6"/>
      <c r="S421" s="6"/>
      <c r="T421" s="6"/>
      <c r="V421" s="2" t="str">
        <f t="shared" si="311"/>
        <v>VfL Wolfsburg</v>
      </c>
      <c r="W421" s="2">
        <f t="shared" si="309"/>
        <v>9</v>
      </c>
      <c r="Y421" s="19">
        <f>RANK(AI421,$AI$405:$AI$422,0)+COUNTIF($AI$404:AI420,AI421)</f>
        <v>9</v>
      </c>
      <c r="Z421" s="19" t="str">
        <f t="shared" si="310"/>
        <v>VfL Wolfsburg</v>
      </c>
      <c r="AA421" s="19">
        <f>COUNTIFS(F4:F221,Z421,G4:G221,"&gt;=0")+COUNTIFS(I4:I221,Z421,H4:H221,"&gt;=0")</f>
        <v>20</v>
      </c>
      <c r="AB421" s="19">
        <f>COUNTIFS(F4:F221,Z421,B4:B221,3)+COUNTIFS(I4:I221,Z421,M4:M221,3)</f>
        <v>7</v>
      </c>
      <c r="AC421" s="19">
        <f>COUNTIFS(F4:F221,Z421,B4:B221,1)+COUNTIFS(I4:I221,Z421,M4:M221,1)</f>
        <v>6</v>
      </c>
      <c r="AD421" s="19">
        <f>COUNTIFS(F4:F221,Z421,B4:B221,0)+COUNTIFS(I4:I221,Z421,M4:M221,0)</f>
        <v>7</v>
      </c>
      <c r="AE421" s="19">
        <f>SUMIF(F4:F221,Z421,G4:G221)+SUMIF(I4:I221,Z421,H4:H221)</f>
        <v>24</v>
      </c>
      <c r="AF421" s="19">
        <f>SUMIF(F4:F221,Z421,H4:H221)+SUMIF(I4:I221,Z421,G4:G221)</f>
        <v>25</v>
      </c>
      <c r="AG421" s="19">
        <f t="shared" si="313"/>
        <v>-1</v>
      </c>
      <c r="AH421" s="19">
        <f t="shared" si="314"/>
        <v>27</v>
      </c>
      <c r="AI421" s="19">
        <f t="shared" si="312"/>
        <v>27000.014000000003</v>
      </c>
      <c r="AW421" s="7"/>
    </row>
    <row r="422" spans="1:49" x14ac:dyDescent="0.25">
      <c r="A422" s="1"/>
      <c r="B422" s="6"/>
      <c r="C422" s="6"/>
      <c r="D422" s="63"/>
      <c r="E422" s="6"/>
      <c r="F422" s="7"/>
      <c r="G422" s="22"/>
      <c r="H422" s="22"/>
      <c r="I422" s="7"/>
      <c r="J422" s="7"/>
      <c r="K422" s="63"/>
      <c r="L422" s="6"/>
      <c r="M422" s="6"/>
      <c r="N422" s="6"/>
      <c r="O422" s="6"/>
      <c r="P422" s="6"/>
      <c r="Q422" s="6"/>
      <c r="R422" s="6"/>
      <c r="S422" s="6"/>
      <c r="T422" s="6"/>
      <c r="V422" s="2" t="str">
        <f t="shared" si="311"/>
        <v>Werder Bremen</v>
      </c>
      <c r="W422" s="2">
        <f t="shared" si="309"/>
        <v>16</v>
      </c>
      <c r="Y422" s="19">
        <f>RANK(AI422,$AI$405:$AI$422,0)+COUNTIF($AI$404:AI421,AI422)</f>
        <v>16</v>
      </c>
      <c r="Z422" s="19" t="str">
        <f t="shared" si="310"/>
        <v>Werder Bremen</v>
      </c>
      <c r="AA422" s="19">
        <f>COUNTIFS(F4:F221,Z422,G4:G221,"&gt;=0")+COUNTIFS(I4:I221,Z422,H4:H221,"&gt;=0")</f>
        <v>20</v>
      </c>
      <c r="AB422" s="19">
        <f>COUNTIFS(F4:F221,Z422,B4:B221,3)+COUNTIFS(I4:I221,Z422,M4:M221,3)</f>
        <v>4</v>
      </c>
      <c r="AC422" s="19">
        <f>COUNTIFS(F4:F221,Z422,B4:B221,1)+COUNTIFS(I4:I221,Z422,M4:M221,1)</f>
        <v>5</v>
      </c>
      <c r="AD422" s="19">
        <f>COUNTIFS(F4:F221,Z422,B4:B221,0)+COUNTIFS(I4:I221,Z422,M4:M221,0)</f>
        <v>11</v>
      </c>
      <c r="AE422" s="19">
        <f>SUMIF(F4:F221,Z422,G4:G221)+SUMIF(I4:I221,Z422,H4:H221)</f>
        <v>25</v>
      </c>
      <c r="AF422" s="19">
        <f>SUMIF(F4:F221,Z422,H4:H221)+SUMIF(I4:I221,Z422,G4:G221)</f>
        <v>46</v>
      </c>
      <c r="AG422" s="19">
        <f t="shared" si="313"/>
        <v>-21</v>
      </c>
      <c r="AH422" s="19">
        <f t="shared" si="314"/>
        <v>17</v>
      </c>
      <c r="AI422" s="19">
        <f t="shared" si="312"/>
        <v>16999.815000000002</v>
      </c>
      <c r="AJ422" s="2"/>
      <c r="AW422" s="7"/>
    </row>
    <row r="423" spans="1:49" x14ac:dyDescent="0.25">
      <c r="A423" s="1"/>
      <c r="AJ423" s="2"/>
    </row>
    <row r="424" spans="1:49" x14ac:dyDescent="0.25">
      <c r="A424" s="1"/>
      <c r="W424" s="18">
        <v>21</v>
      </c>
      <c r="Y424" s="19"/>
      <c r="Z424" s="19" t="s">
        <v>1</v>
      </c>
      <c r="AA424" s="19" t="s">
        <v>2</v>
      </c>
      <c r="AB424" s="19" t="s">
        <v>3</v>
      </c>
      <c r="AC424" s="19" t="s">
        <v>4</v>
      </c>
      <c r="AD424" s="19" t="s">
        <v>5</v>
      </c>
      <c r="AE424" s="19" t="s">
        <v>6</v>
      </c>
      <c r="AF424" s="19" t="s">
        <v>7</v>
      </c>
      <c r="AG424" s="19" t="s">
        <v>8</v>
      </c>
      <c r="AH424" s="19" t="s">
        <v>9</v>
      </c>
      <c r="AI424" s="19" t="s">
        <v>0</v>
      </c>
      <c r="AJ424" s="2"/>
      <c r="AW424" s="7"/>
    </row>
    <row r="425" spans="1:49" x14ac:dyDescent="0.25">
      <c r="A425" s="1"/>
      <c r="V425" s="2" t="str">
        <f>CONCATENATE(Z425)</f>
        <v>1. FC Köln</v>
      </c>
      <c r="W425" s="2">
        <f t="shared" ref="W425:W442" si="315">Y425</f>
        <v>13</v>
      </c>
      <c r="Y425" s="19">
        <f>RANK(AI425,$AI$425:$AI$442,0)+COUNTIF($AI$424:AI424,AI425)</f>
        <v>13</v>
      </c>
      <c r="Z425" s="19" t="str">
        <f t="shared" ref="Z425:Z442" si="316">CONCATENATE(Z5)</f>
        <v>1. FC Köln</v>
      </c>
      <c r="AA425" s="19">
        <f>COUNTIFS(F4:F232,Z425,G4:G232,"&gt;=0")+COUNTIFS(I4:I232,Z425,H4:H232,"&gt;=0")</f>
        <v>20</v>
      </c>
      <c r="AB425" s="19">
        <f>COUNTIFS(F4:F232,Z425,B4:B232,3)+COUNTIFS(I4:I232,Z425,M4:M232,3)</f>
        <v>7</v>
      </c>
      <c r="AC425" s="19">
        <f>COUNTIFS(F4:F232,Z425,B4:B232,1)+COUNTIFS(I4:I232,Z425,M4:M232,1)</f>
        <v>2</v>
      </c>
      <c r="AD425" s="19">
        <f>COUNTIFS(F4:F232,Z425,B4:B232,0)+COUNTIFS(I4:I232,Z425,M4:M232,0)</f>
        <v>11</v>
      </c>
      <c r="AE425" s="19">
        <f>SUMIF(F4:F232,Z425,G4:G232)+SUMIF(I4:I232,Z425,H4:H232)</f>
        <v>27</v>
      </c>
      <c r="AF425" s="19">
        <f>SUMIF(F4:F232,Z425,H4:H232)+SUMIF(I4:I232,Z425,G4:G232)</f>
        <v>38</v>
      </c>
      <c r="AG425" s="19">
        <f>+AE425-AF425</f>
        <v>-11</v>
      </c>
      <c r="AH425" s="19">
        <f>(AB425*3)+AC425</f>
        <v>23</v>
      </c>
      <c r="AI425" s="19">
        <f>SUM(AH425*1000+(AG425)/100+(AE425)/1000)</f>
        <v>22999.916999999998</v>
      </c>
      <c r="AJ425" s="2"/>
      <c r="AW425" s="7"/>
    </row>
    <row r="426" spans="1:49" x14ac:dyDescent="0.25">
      <c r="A426" s="1"/>
      <c r="V426" s="2" t="str">
        <f t="shared" ref="V426:V442" si="317">CONCATENATE(Z426)</f>
        <v>1. FC Union Berlin</v>
      </c>
      <c r="W426" s="2">
        <f t="shared" si="315"/>
        <v>11</v>
      </c>
      <c r="Y426" s="19">
        <f>RANK(AI426,$AI$425:$AI$442,0)+COUNTIF($AI$424:AI425,AI426)</f>
        <v>11</v>
      </c>
      <c r="Z426" s="19" t="str">
        <f t="shared" si="316"/>
        <v>1. FC Union Berlin</v>
      </c>
      <c r="AA426" s="19">
        <f>COUNTIFS(F4:F232,Z426,G4:G232,"&gt;=0")+COUNTIFS(I4:I232,Z426,H4:H232,"&gt;=0")</f>
        <v>21</v>
      </c>
      <c r="AB426" s="19">
        <f>COUNTIFS(F4:F232,Z426,B4:B232,3)+COUNTIFS(I4:I232,Z426,M4:M232,3)</f>
        <v>8</v>
      </c>
      <c r="AC426" s="19">
        <f>COUNTIFS(F4:F232,Z426,B4:B232,1)+COUNTIFS(I4:I232,Z426,M4:M232,1)</f>
        <v>2</v>
      </c>
      <c r="AD426" s="19">
        <f>COUNTIFS(F4:F232,Z426,B4:B232,0)+COUNTIFS(I4:I232,Z426,M4:M232,0)</f>
        <v>11</v>
      </c>
      <c r="AE426" s="19">
        <f>SUMIF(F4:F232,Z426,G4:G232)+SUMIF(I4:I232,Z426,H4:H232)</f>
        <v>25</v>
      </c>
      <c r="AF426" s="19">
        <f>SUMIF(F4:F232,Z426,H4:H232)+SUMIF(I4:I232,Z426,G4:G232)</f>
        <v>32</v>
      </c>
      <c r="AG426" s="19">
        <f>+AE426-AF426</f>
        <v>-7</v>
      </c>
      <c r="AH426" s="19">
        <f>(AB426*3)+AC426</f>
        <v>26</v>
      </c>
      <c r="AI426" s="19">
        <f t="shared" ref="AI426:AI442" si="318">SUM(AH426*1000+(AG426)/100+(AE426)/1000)</f>
        <v>25999.955000000002</v>
      </c>
      <c r="AJ426" s="2"/>
      <c r="AW426" s="7"/>
    </row>
    <row r="427" spans="1:49" x14ac:dyDescent="0.25">
      <c r="A427" s="1"/>
      <c r="V427" s="2" t="str">
        <f t="shared" si="317"/>
        <v>1. FSV Mainz 05</v>
      </c>
      <c r="W427" s="2">
        <f t="shared" si="315"/>
        <v>15</v>
      </c>
      <c r="Y427" s="19">
        <f>RANK(AI427,$AI$425:$AI$442,0)+COUNTIF($AI$424:AI426,AI427)</f>
        <v>15</v>
      </c>
      <c r="Z427" s="19" t="str">
        <f t="shared" si="316"/>
        <v>1. FSV Mainz 05</v>
      </c>
      <c r="AA427" s="19">
        <f>COUNTIFS(F4:F232,Z427,G4:G232,"&gt;=0")+COUNTIFS(I4:I232,Z427,H4:H232,"&gt;=0")</f>
        <v>21</v>
      </c>
      <c r="AB427" s="19">
        <f>COUNTIFS(F4:F232,Z427,B4:B232,3)+COUNTIFS(I4:I232,Z427,M4:M232,3)</f>
        <v>7</v>
      </c>
      <c r="AC427" s="19">
        <f>COUNTIFS(F4:F232,Z427,B4:B232,1)+COUNTIFS(I4:I232,Z427,M4:M232,1)</f>
        <v>0</v>
      </c>
      <c r="AD427" s="19">
        <f>COUNTIFS(F4:F232,Z427,B4:B232,0)+COUNTIFS(I4:I232,Z427,M4:M232,0)</f>
        <v>14</v>
      </c>
      <c r="AE427" s="19">
        <f>SUMIF(F4:F232,Z427,G4:G232)+SUMIF(I4:I232,Z427,H4:H232)</f>
        <v>31</v>
      </c>
      <c r="AF427" s="19">
        <f>SUMIF(F4:F232,Z427,H4:H232)+SUMIF(I4:I232,Z427,G4:G232)</f>
        <v>48</v>
      </c>
      <c r="AG427" s="19">
        <f>+AE427-AF427</f>
        <v>-17</v>
      </c>
      <c r="AH427" s="19">
        <f>(AB427*3)+AC427</f>
        <v>21</v>
      </c>
      <c r="AI427" s="19">
        <f t="shared" si="318"/>
        <v>20999.861000000001</v>
      </c>
      <c r="AJ427" s="2"/>
      <c r="AW427" s="7"/>
    </row>
    <row r="428" spans="1:49" x14ac:dyDescent="0.25">
      <c r="A428" s="1"/>
      <c r="V428" s="2" t="str">
        <f t="shared" si="317"/>
        <v>1899 Hoffenheim</v>
      </c>
      <c r="W428" s="2">
        <f t="shared" si="315"/>
        <v>7</v>
      </c>
      <c r="Y428" s="19">
        <f>RANK(AI428,$AI$425:$AI$442,0)+COUNTIF($AI$424:AI427,AI428)</f>
        <v>7</v>
      </c>
      <c r="Z428" s="19" t="str">
        <f t="shared" si="316"/>
        <v>1899 Hoffenheim</v>
      </c>
      <c r="AA428" s="19">
        <f>COUNTIFS(F4:F232,Z428,G4:G232,"&gt;=0")+COUNTIFS(I4:I232,Z428,H4:H232,"&gt;=0")</f>
        <v>21</v>
      </c>
      <c r="AB428" s="19">
        <f>COUNTIFS(F4:F232,Z428,B4:B232,3)+COUNTIFS(I4:I232,Z428,M4:M232,3)</f>
        <v>10</v>
      </c>
      <c r="AC428" s="19">
        <f>COUNTIFS(F4:F232,Z428,B4:B232,1)+COUNTIFS(I4:I232,Z428,M4:M232,1)</f>
        <v>3</v>
      </c>
      <c r="AD428" s="19">
        <f>COUNTIFS(F4:F232,Z428,B4:B232,0)+COUNTIFS(I4:I232,Z428,M4:M232,0)</f>
        <v>8</v>
      </c>
      <c r="AE428" s="19">
        <f>SUMIF(F4:F232,Z428,G4:G232)+SUMIF(I4:I232,Z428,H4:H232)</f>
        <v>31</v>
      </c>
      <c r="AF428" s="19">
        <f>SUMIF(F4:F232,Z428,H4:H232)+SUMIF(I4:I232,Z428,G4:G232)</f>
        <v>32</v>
      </c>
      <c r="AG428" s="19">
        <f t="shared" ref="AG428:AG442" si="319">+AE428-AF428</f>
        <v>-1</v>
      </c>
      <c r="AH428" s="19">
        <f>(AB428*3)+AC428</f>
        <v>33</v>
      </c>
      <c r="AI428" s="19">
        <f t="shared" si="318"/>
        <v>33000.021000000001</v>
      </c>
      <c r="AJ428" s="2"/>
      <c r="AW428" s="7"/>
    </row>
    <row r="429" spans="1:49" x14ac:dyDescent="0.25">
      <c r="A429" s="1"/>
      <c r="V429" s="2" t="str">
        <f t="shared" si="317"/>
        <v>Bayer Leverkusen</v>
      </c>
      <c r="W429" s="2">
        <f t="shared" si="315"/>
        <v>5</v>
      </c>
      <c r="Y429" s="19">
        <f>RANK(AI429,$AI$425:$AI$442,0)+COUNTIF($AI$424:AI428,AI429)</f>
        <v>5</v>
      </c>
      <c r="Z429" s="19" t="str">
        <f t="shared" si="316"/>
        <v>Bayer Leverkusen</v>
      </c>
      <c r="AA429" s="19">
        <f>COUNTIFS(F4:F232,Z429,G4:G232,"&gt;=0")+COUNTIFS(I4:I232,Z429,H4:H232,"&gt;=0")</f>
        <v>21</v>
      </c>
      <c r="AB429" s="19">
        <f>COUNTIFS(F4:F232,Z429,B4:B232,3)+COUNTIFS(I4:I232,Z429,M4:M232,3)</f>
        <v>11</v>
      </c>
      <c r="AC429" s="19">
        <f>COUNTIFS(F4:F232,Z429,B4:B232,1)+COUNTIFS(I4:I232,Z429,M4:M232,1)</f>
        <v>4</v>
      </c>
      <c r="AD429" s="19">
        <f>COUNTIFS(F4:F232,Z429,B4:B232,0)+COUNTIFS(I4:I232,Z429,M4:M232,0)</f>
        <v>6</v>
      </c>
      <c r="AE429" s="19">
        <f>SUMIF(F4:F232,Z429,G4:G232)+SUMIF(I4:I232,Z429,H4:H232)</f>
        <v>35</v>
      </c>
      <c r="AF429" s="19">
        <f>SUMIF(F4:F232,Z429,H4:H232)+SUMIF(I4:I232,Z429,G4:G232)</f>
        <v>27</v>
      </c>
      <c r="AG429" s="19">
        <f t="shared" si="319"/>
        <v>8</v>
      </c>
      <c r="AH429" s="19">
        <f>(AB429*3)+AC429</f>
        <v>37</v>
      </c>
      <c r="AI429" s="19">
        <f t="shared" si="318"/>
        <v>37000.115000000005</v>
      </c>
      <c r="AJ429" s="2"/>
      <c r="AW429" s="7"/>
    </row>
    <row r="430" spans="1:49" x14ac:dyDescent="0.25">
      <c r="A430" s="1"/>
      <c r="V430" s="2" t="str">
        <f t="shared" si="317"/>
        <v>Bayern München</v>
      </c>
      <c r="W430" s="2">
        <f t="shared" si="315"/>
        <v>1</v>
      </c>
      <c r="Y430" s="19">
        <f>RANK(AI430,$AI$425:$AI$442,0)+COUNTIF($AI$424:AI429,AI430)</f>
        <v>1</v>
      </c>
      <c r="Z430" s="19" t="str">
        <f t="shared" si="316"/>
        <v>Bayern München</v>
      </c>
      <c r="AA430" s="19">
        <f>COUNTIFS(F4:F232,Z430,G4:G232,"&gt;=0")+COUNTIFS(I4:I232,Z430,H4:H232,"&gt;=0")</f>
        <v>21</v>
      </c>
      <c r="AB430" s="19">
        <f>COUNTIFS(F4:F232,Z430,B4:B232,3)+COUNTIFS(I4:I232,Z430,M4:M232,3)</f>
        <v>13</v>
      </c>
      <c r="AC430" s="19">
        <f>COUNTIFS(F4:F232,Z430,B4:B232,1)+COUNTIFS(I4:I232,Z430,M4:M232,1)</f>
        <v>4</v>
      </c>
      <c r="AD430" s="19">
        <f>COUNTIFS(F4:F232,Z430,B4:B232,0)+COUNTIFS(I4:I232,Z430,M4:M232,0)</f>
        <v>4</v>
      </c>
      <c r="AE430" s="19">
        <f>SUMIF(F4:F232,Z430,G4:G232)+SUMIF(I4:I232,Z430,H4:H232)</f>
        <v>58</v>
      </c>
      <c r="AF430" s="19">
        <f>SUMIF(F4:F232,Z430,H4:H232)+SUMIF(I4:I232,Z430,G4:G232)</f>
        <v>23</v>
      </c>
      <c r="AG430" s="19">
        <f t="shared" si="319"/>
        <v>35</v>
      </c>
      <c r="AH430" s="19">
        <f t="shared" ref="AH430:AH442" si="320">(AB430*3)+AC430</f>
        <v>43</v>
      </c>
      <c r="AI430" s="19">
        <f t="shared" si="318"/>
        <v>43000.407999999996</v>
      </c>
      <c r="AJ430" s="2"/>
      <c r="AW430" s="7"/>
    </row>
    <row r="431" spans="1:49" x14ac:dyDescent="0.25">
      <c r="A431" s="1"/>
      <c r="V431" s="2" t="str">
        <f t="shared" si="317"/>
        <v>Bor. Mönchengladbach</v>
      </c>
      <c r="W431" s="2">
        <f t="shared" si="315"/>
        <v>4</v>
      </c>
      <c r="Y431" s="19">
        <f>RANK(AI431,$AI$425:$AI$442,0)+COUNTIF($AI$424:AI430,AI431)</f>
        <v>4</v>
      </c>
      <c r="Z431" s="19" t="str">
        <f t="shared" si="316"/>
        <v>Bor. Mönchengladbach</v>
      </c>
      <c r="AA431" s="19">
        <f>COUNTIFS(F4:F232,Z431,G4:G232,"&gt;=0")+COUNTIFS(I4:I232,Z431,H4:H232,"&gt;=0")</f>
        <v>20</v>
      </c>
      <c r="AB431" s="19">
        <f>COUNTIFS(F4:F232,Z431,B4:B232,3)+COUNTIFS(I4:I232,Z431,M4:M232,3)</f>
        <v>12</v>
      </c>
      <c r="AC431" s="19">
        <f>COUNTIFS(F4:F232,Z431,B4:B232,1)+COUNTIFS(I4:I232,Z431,M4:M232,1)</f>
        <v>3</v>
      </c>
      <c r="AD431" s="19">
        <f>COUNTIFS(F4:F232,Z431,B4:B232,0)+COUNTIFS(I4:I232,Z431,M4:M232,0)</f>
        <v>5</v>
      </c>
      <c r="AE431" s="19">
        <f>SUMIF(F4:F232,Z431,G4:G232)+SUMIF(I4:I232,Z431,H4:H232)</f>
        <v>38</v>
      </c>
      <c r="AF431" s="19">
        <f>SUMIF(F4:F232,Z431,H4:H232)+SUMIF(I4:I232,Z431,G4:G232)</f>
        <v>23</v>
      </c>
      <c r="AG431" s="19">
        <f t="shared" si="319"/>
        <v>15</v>
      </c>
      <c r="AH431" s="19">
        <f t="shared" si="320"/>
        <v>39</v>
      </c>
      <c r="AI431" s="19">
        <f t="shared" si="318"/>
        <v>39000.188000000002</v>
      </c>
      <c r="AJ431" s="2"/>
      <c r="AW431" s="7"/>
    </row>
    <row r="432" spans="1:49" x14ac:dyDescent="0.25">
      <c r="A432" s="1"/>
      <c r="V432" s="2" t="str">
        <f t="shared" si="317"/>
        <v>Borussia Dortmund</v>
      </c>
      <c r="W432" s="2">
        <f t="shared" si="315"/>
        <v>3</v>
      </c>
      <c r="Y432" s="19">
        <f>RANK(AI432,$AI$425:$AI$442,0)+COUNTIF($AI$424:AI431,AI432)</f>
        <v>3</v>
      </c>
      <c r="Z432" s="19" t="str">
        <f t="shared" si="316"/>
        <v>Borussia Dortmund</v>
      </c>
      <c r="AA432" s="19">
        <f>COUNTIFS(F4:F232,Z432,G4:G232,"&gt;=0")+COUNTIFS(I4:I232,Z432,H4:H232,"&gt;=0")</f>
        <v>21</v>
      </c>
      <c r="AB432" s="19">
        <f>COUNTIFS(F4:F232,Z432,B4:B232,3)+COUNTIFS(I4:I232,Z432,M4:M232,3)</f>
        <v>11</v>
      </c>
      <c r="AC432" s="19">
        <f>COUNTIFS(F4:F232,Z432,B4:B232,1)+COUNTIFS(I4:I232,Z432,M4:M232,1)</f>
        <v>6</v>
      </c>
      <c r="AD432" s="19">
        <f>COUNTIFS(F4:F232,Z432,B4:B232,0)+COUNTIFS(I4:I232,Z432,M4:M232,0)</f>
        <v>4</v>
      </c>
      <c r="AE432" s="19">
        <f>SUMIF(F4:F232,Z432,G4:G232)+SUMIF(I4:I232,Z432,H4:H232)</f>
        <v>59</v>
      </c>
      <c r="AF432" s="19">
        <f>SUMIF(F4:F232,Z432,H4:H232)+SUMIF(I4:I232,Z432,G4:G232)</f>
        <v>32</v>
      </c>
      <c r="AG432" s="19">
        <f t="shared" si="319"/>
        <v>27</v>
      </c>
      <c r="AH432" s="19">
        <f t="shared" si="320"/>
        <v>39</v>
      </c>
      <c r="AI432" s="19">
        <f t="shared" si="318"/>
        <v>39000.328999999998</v>
      </c>
      <c r="AJ432" s="2"/>
      <c r="AW432" s="7"/>
    </row>
    <row r="433" spans="1:49" x14ac:dyDescent="0.25">
      <c r="A433" s="1"/>
      <c r="V433" s="2" t="str">
        <f t="shared" si="317"/>
        <v>Eintracht Frankfurt</v>
      </c>
      <c r="W433" s="2">
        <f t="shared" si="315"/>
        <v>9</v>
      </c>
      <c r="Y433" s="19">
        <f>RANK(AI433,$AI$425:$AI$442,0)+COUNTIF($AI$424:AI432,AI433)</f>
        <v>9</v>
      </c>
      <c r="Z433" s="19" t="str">
        <f t="shared" si="316"/>
        <v>Eintracht Frankfurt</v>
      </c>
      <c r="AA433" s="19">
        <f>COUNTIFS(F4:F232,Z433,G4:G232,"&gt;=0")+COUNTIFS(I4:I232,Z433,H4:H232,"&gt;=0")</f>
        <v>21</v>
      </c>
      <c r="AB433" s="19">
        <f>COUNTIFS(F4:F232,Z433,B4:B232,3)+COUNTIFS(I4:I232,Z433,M4:M232,3)</f>
        <v>8</v>
      </c>
      <c r="AC433" s="19">
        <f>COUNTIFS(F4:F232,Z433,B4:B232,1)+COUNTIFS(I4:I232,Z433,M4:M232,1)</f>
        <v>4</v>
      </c>
      <c r="AD433" s="19">
        <f>COUNTIFS(F4:F232,Z433,B4:B232,0)+COUNTIFS(I4:I232,Z433,M4:M232,0)</f>
        <v>9</v>
      </c>
      <c r="AE433" s="19">
        <f>SUMIF(F4:F232,Z433,G4:G232)+SUMIF(I4:I232,Z433,H4:H232)</f>
        <v>37</v>
      </c>
      <c r="AF433" s="19">
        <f>SUMIF(F4:F232,Z433,H4:H232)+SUMIF(I4:I232,Z433,G4:G232)</f>
        <v>31</v>
      </c>
      <c r="AG433" s="19">
        <f t="shared" si="319"/>
        <v>6</v>
      </c>
      <c r="AH433" s="19">
        <f t="shared" si="320"/>
        <v>28</v>
      </c>
      <c r="AI433" s="19">
        <f t="shared" si="318"/>
        <v>28000.097000000002</v>
      </c>
      <c r="AJ433" s="2"/>
      <c r="AW433" s="7"/>
    </row>
    <row r="434" spans="1:49" x14ac:dyDescent="0.25">
      <c r="A434" s="1"/>
      <c r="B434" s="1"/>
      <c r="C434" s="1"/>
      <c r="D434" s="64"/>
      <c r="E434" s="1"/>
      <c r="G434" s="1"/>
      <c r="H434" s="1"/>
      <c r="K434" s="64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2" t="str">
        <f t="shared" si="317"/>
        <v>FC Augsburg</v>
      </c>
      <c r="W434" s="2">
        <f t="shared" si="315"/>
        <v>12</v>
      </c>
      <c r="Y434" s="19">
        <f>RANK(AI434,$AI$425:$AI$442,0)+COUNTIF($AI$424:AI433,AI434)</f>
        <v>12</v>
      </c>
      <c r="Z434" s="19" t="str">
        <f t="shared" si="316"/>
        <v>FC Augsburg</v>
      </c>
      <c r="AA434" s="19">
        <f>COUNTIFS(F4:F232,Z434,G4:G232,"&gt;=0")+COUNTIFS(I4:I232,Z434,H4:H232,"&gt;=0")</f>
        <v>21</v>
      </c>
      <c r="AB434" s="19">
        <f>COUNTIFS(F4:F232,Z434,B4:B232,3)+COUNTIFS(I4:I232,Z434,M4:M232,3)</f>
        <v>7</v>
      </c>
      <c r="AC434" s="19">
        <f>COUNTIFS(F4:F232,Z434,B4:B232,1)+COUNTIFS(I4:I232,Z434,M4:M232,1)</f>
        <v>5</v>
      </c>
      <c r="AD434" s="19">
        <f>COUNTIFS(F4:F232,Z434,B4:B232,0)+COUNTIFS(I4:I232,Z434,M4:M232,0)</f>
        <v>9</v>
      </c>
      <c r="AE434" s="19">
        <f>SUMIF(F4:F232,Z434,G4:G232)+SUMIF(I4:I232,Z434,H4:H232)</f>
        <v>33</v>
      </c>
      <c r="AF434" s="19">
        <f>SUMIF(F4:F232,Z434,H4:H232)+SUMIF(I4:I232,Z434,G4:G232)</f>
        <v>44</v>
      </c>
      <c r="AG434" s="19">
        <f t="shared" si="319"/>
        <v>-11</v>
      </c>
      <c r="AH434" s="19">
        <f t="shared" si="320"/>
        <v>26</v>
      </c>
      <c r="AI434" s="19">
        <f t="shared" si="318"/>
        <v>25999.922999999999</v>
      </c>
      <c r="AJ434" s="2"/>
      <c r="AW434" s="7"/>
    </row>
    <row r="435" spans="1:49" x14ac:dyDescent="0.25">
      <c r="A435" s="1"/>
      <c r="B435" s="1"/>
      <c r="C435" s="1"/>
      <c r="D435" s="64"/>
      <c r="E435" s="1"/>
      <c r="G435" s="1"/>
      <c r="H435" s="1"/>
      <c r="K435" s="64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2" t="str">
        <f t="shared" si="317"/>
        <v>FC Schalke 04</v>
      </c>
      <c r="W435" s="2">
        <f t="shared" si="315"/>
        <v>6</v>
      </c>
      <c r="Y435" s="19">
        <f>RANK(AI435,$AI$425:$AI$442,0)+COUNTIF($AI$424:AI434,AI435)</f>
        <v>6</v>
      </c>
      <c r="Z435" s="19" t="str">
        <f t="shared" si="316"/>
        <v>FC Schalke 04</v>
      </c>
      <c r="AA435" s="19">
        <f>COUNTIFS(F4:F232,Z435,G4:G232,"&gt;=0")+COUNTIFS(I4:I232,Z435,H4:H232,"&gt;=0")</f>
        <v>21</v>
      </c>
      <c r="AB435" s="19">
        <f>COUNTIFS(F4:F232,Z435,B4:B232,3)+COUNTIFS(I4:I232,Z435,M4:M232,3)</f>
        <v>9</v>
      </c>
      <c r="AC435" s="19">
        <f>COUNTIFS(F4:F232,Z435,B4:B232,1)+COUNTIFS(I4:I232,Z435,M4:M232,1)</f>
        <v>8</v>
      </c>
      <c r="AD435" s="19">
        <f>COUNTIFS(F4:F232,Z435,B4:B232,0)+COUNTIFS(I4:I232,Z435,M4:M232,0)</f>
        <v>4</v>
      </c>
      <c r="AE435" s="19">
        <f>SUMIF(F4:F232,Z435,G4:G232)+SUMIF(I4:I232,Z435,H4:H232)</f>
        <v>32</v>
      </c>
      <c r="AF435" s="19">
        <f>SUMIF(F4:F232,Z435,H4:H232)+SUMIF(I4:I232,Z435,G4:G232)</f>
        <v>27</v>
      </c>
      <c r="AG435" s="19">
        <f t="shared" si="319"/>
        <v>5</v>
      </c>
      <c r="AH435" s="19">
        <f t="shared" si="320"/>
        <v>35</v>
      </c>
      <c r="AI435" s="19">
        <f t="shared" si="318"/>
        <v>35000.082000000002</v>
      </c>
      <c r="AJ435" s="2"/>
      <c r="AW435" s="7"/>
    </row>
    <row r="436" spans="1:49" x14ac:dyDescent="0.25">
      <c r="A436" s="1"/>
      <c r="B436" s="1"/>
      <c r="C436" s="1"/>
      <c r="D436" s="64"/>
      <c r="E436" s="1"/>
      <c r="G436" s="1"/>
      <c r="H436" s="1"/>
      <c r="K436" s="64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2" t="str">
        <f t="shared" si="317"/>
        <v>Fortuna Düsseldorf</v>
      </c>
      <c r="W436" s="2">
        <f t="shared" si="315"/>
        <v>16</v>
      </c>
      <c r="Y436" s="19">
        <f>RANK(AI436,$AI$425:$AI$442,0)+COUNTIF($AI$424:AI435,AI436)</f>
        <v>16</v>
      </c>
      <c r="Z436" s="19" t="str">
        <f t="shared" si="316"/>
        <v>Fortuna Düsseldorf</v>
      </c>
      <c r="AA436" s="19">
        <f>COUNTIFS(F4:F232,Z436,G4:G232,"&gt;=0")+COUNTIFS(I4:I232,Z436,H4:H232,"&gt;=0")</f>
        <v>21</v>
      </c>
      <c r="AB436" s="19">
        <f>COUNTIFS(F4:F232,Z436,B4:B232,3)+COUNTIFS(I4:I232,Z436,M4:M232,3)</f>
        <v>4</v>
      </c>
      <c r="AC436" s="19">
        <f>COUNTIFS(F4:F232,Z436,B4:B232,1)+COUNTIFS(I4:I232,Z436,M4:M232,1)</f>
        <v>5</v>
      </c>
      <c r="AD436" s="19">
        <f>COUNTIFS(F4:F232,Z436,B4:B232,0)+COUNTIFS(I4:I232,Z436,M4:M232,0)</f>
        <v>12</v>
      </c>
      <c r="AE436" s="19">
        <f>SUMIF(F4:F232,Z436,G4:G232)+SUMIF(I4:I232,Z436,H4:H232)</f>
        <v>20</v>
      </c>
      <c r="AF436" s="19">
        <f>SUMIF(F4:F232,Z436,H4:H232)+SUMIF(I4:I232,Z436,G4:G232)</f>
        <v>42</v>
      </c>
      <c r="AG436" s="19">
        <f t="shared" si="319"/>
        <v>-22</v>
      </c>
      <c r="AH436" s="19">
        <f t="shared" si="320"/>
        <v>17</v>
      </c>
      <c r="AI436" s="19">
        <f t="shared" si="318"/>
        <v>16999.8</v>
      </c>
      <c r="AJ436" s="2"/>
      <c r="AW436" s="7"/>
    </row>
    <row r="437" spans="1:49" x14ac:dyDescent="0.25">
      <c r="A437" s="1"/>
      <c r="B437" s="1"/>
      <c r="C437" s="1"/>
      <c r="D437" s="64"/>
      <c r="E437" s="1"/>
      <c r="G437" s="1"/>
      <c r="H437" s="1"/>
      <c r="K437" s="64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2" t="str">
        <f t="shared" si="317"/>
        <v>Hertha BSC</v>
      </c>
      <c r="W437" s="2">
        <f t="shared" si="315"/>
        <v>14</v>
      </c>
      <c r="Y437" s="19">
        <f>RANK(AI437,$AI$425:$AI$442,0)+COUNTIF($AI$424:AI436,AI437)</f>
        <v>14</v>
      </c>
      <c r="Z437" s="19" t="str">
        <f t="shared" si="316"/>
        <v>Hertha BSC</v>
      </c>
      <c r="AA437" s="19">
        <f>COUNTIFS(F4:F232,Z437,G4:G232,"&gt;=0")+COUNTIFS(I4:I232,Z437,H4:H232,"&gt;=0")</f>
        <v>21</v>
      </c>
      <c r="AB437" s="19">
        <f>COUNTIFS(F4:F232,Z437,B4:B232,3)+COUNTIFS(I4:I232,Z437,M4:M232,3)</f>
        <v>6</v>
      </c>
      <c r="AC437" s="19">
        <f>COUNTIFS(F4:F232,Z437,B4:B232,1)+COUNTIFS(I4:I232,Z437,M4:M232,1)</f>
        <v>5</v>
      </c>
      <c r="AD437" s="19">
        <f>COUNTIFS(F4:F232,Z437,B4:B232,0)+COUNTIFS(I4:I232,Z437,M4:M232,0)</f>
        <v>10</v>
      </c>
      <c r="AE437" s="19">
        <f>SUMIF(F4:F232,Z437,G4:G232)+SUMIF(I4:I232,Z437,H4:H232)</f>
        <v>25</v>
      </c>
      <c r="AF437" s="19">
        <f>SUMIF(F4:F232,Z437,H4:H232)+SUMIF(I4:I232,Z437,G4:G232)</f>
        <v>37</v>
      </c>
      <c r="AG437" s="19">
        <f t="shared" si="319"/>
        <v>-12</v>
      </c>
      <c r="AH437" s="19">
        <f t="shared" si="320"/>
        <v>23</v>
      </c>
      <c r="AI437" s="19">
        <f t="shared" si="318"/>
        <v>22999.905000000002</v>
      </c>
      <c r="AJ437" s="2"/>
      <c r="AW437" s="7"/>
    </row>
    <row r="438" spans="1:49" x14ac:dyDescent="0.25">
      <c r="A438" s="1"/>
      <c r="B438" s="1"/>
      <c r="C438" s="1"/>
      <c r="D438" s="64"/>
      <c r="E438" s="1"/>
      <c r="G438" s="1"/>
      <c r="H438" s="1"/>
      <c r="K438" s="64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2" t="str">
        <f t="shared" si="317"/>
        <v>RB Leipzig</v>
      </c>
      <c r="W438" s="2">
        <f t="shared" si="315"/>
        <v>2</v>
      </c>
      <c r="Y438" s="19">
        <f>RANK(AI438,$AI$425:$AI$442,0)+COUNTIF($AI$424:AI437,AI438)</f>
        <v>2</v>
      </c>
      <c r="Z438" s="19" t="str">
        <f t="shared" si="316"/>
        <v>RB Leipzig</v>
      </c>
      <c r="AA438" s="19">
        <f>COUNTIFS(F4:F232,Z438,G4:G232,"&gt;=0")+COUNTIFS(I4:I232,Z438,H4:H232,"&gt;=0")</f>
        <v>21</v>
      </c>
      <c r="AB438" s="19">
        <f>COUNTIFS(F4:F232,Z438,B4:B232,3)+COUNTIFS(I4:I232,Z438,M4:M232,3)</f>
        <v>12</v>
      </c>
      <c r="AC438" s="19">
        <f>COUNTIFS(F4:F232,Z438,B4:B232,1)+COUNTIFS(I4:I232,Z438,M4:M232,1)</f>
        <v>6</v>
      </c>
      <c r="AD438" s="19">
        <f>COUNTIFS(F4:F232,Z438,B4:B232,0)+COUNTIFS(I4:I232,Z438,M4:M232,0)</f>
        <v>3</v>
      </c>
      <c r="AE438" s="19">
        <f>SUMIF(F4:F232,Z438,G4:G232)+SUMIF(I4:I232,Z438,H4:H232)</f>
        <v>53</v>
      </c>
      <c r="AF438" s="19">
        <f>SUMIF(F4:F232,Z438,H4:H232)+SUMIF(I4:I232,Z438,G4:G232)</f>
        <v>25</v>
      </c>
      <c r="AG438" s="19">
        <f t="shared" si="319"/>
        <v>28</v>
      </c>
      <c r="AH438" s="19">
        <f t="shared" si="320"/>
        <v>42</v>
      </c>
      <c r="AI438" s="19">
        <f t="shared" si="318"/>
        <v>42000.332999999999</v>
      </c>
      <c r="AJ438" s="2"/>
      <c r="AW438" s="7"/>
    </row>
    <row r="439" spans="1:49" x14ac:dyDescent="0.25">
      <c r="A439" s="1"/>
      <c r="B439" s="1"/>
      <c r="C439" s="1"/>
      <c r="D439" s="64"/>
      <c r="E439" s="1"/>
      <c r="G439" s="1"/>
      <c r="H439" s="1"/>
      <c r="K439" s="64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2" t="str">
        <f t="shared" si="317"/>
        <v>SC Freiburg</v>
      </c>
      <c r="W439" s="2">
        <f t="shared" si="315"/>
        <v>8</v>
      </c>
      <c r="Y439" s="19">
        <f>RANK(AI439,$AI$425:$AI$442,0)+COUNTIF($AI$424:AI438,AI439)</f>
        <v>8</v>
      </c>
      <c r="Z439" s="19" t="str">
        <f t="shared" si="316"/>
        <v>SC Freiburg</v>
      </c>
      <c r="AA439" s="19">
        <f>COUNTIFS(F4:F232,Z439,G4:G232,"&gt;=0")+COUNTIFS(I4:I232,Z439,H4:H232,"&gt;=0")</f>
        <v>21</v>
      </c>
      <c r="AB439" s="19">
        <f>COUNTIFS(F4:F232,Z439,B4:B232,3)+COUNTIFS(I4:I232,Z439,M4:M232,3)</f>
        <v>9</v>
      </c>
      <c r="AC439" s="19">
        <f>COUNTIFS(F4:F232,Z439,B4:B232,1)+COUNTIFS(I4:I232,Z439,M4:M232,1)</f>
        <v>5</v>
      </c>
      <c r="AD439" s="19">
        <f>COUNTIFS(F4:F232,Z439,B4:B232,0)+COUNTIFS(I4:I232,Z439,M4:M232,0)</f>
        <v>7</v>
      </c>
      <c r="AE439" s="19">
        <f>SUMIF(F4:F232,Z439,G4:G232)+SUMIF(I4:I232,Z439,H4:H232)</f>
        <v>30</v>
      </c>
      <c r="AF439" s="19">
        <f>SUMIF(F4:F232,Z439,H4:H232)+SUMIF(I4:I232,Z439,G4:G232)</f>
        <v>30</v>
      </c>
      <c r="AG439" s="19">
        <f t="shared" si="319"/>
        <v>0</v>
      </c>
      <c r="AH439" s="19">
        <f t="shared" si="320"/>
        <v>32</v>
      </c>
      <c r="AI439" s="19">
        <f t="shared" si="318"/>
        <v>32000.03</v>
      </c>
      <c r="AJ439" s="2"/>
      <c r="AW439" s="7"/>
    </row>
    <row r="440" spans="1:49" x14ac:dyDescent="0.25">
      <c r="A440" s="1"/>
      <c r="B440" s="1"/>
      <c r="C440" s="1"/>
      <c r="D440" s="64"/>
      <c r="E440" s="1"/>
      <c r="G440" s="1"/>
      <c r="H440" s="1"/>
      <c r="K440" s="64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2" t="str">
        <f t="shared" si="317"/>
        <v>SC Paderborn 07</v>
      </c>
      <c r="W440" s="2">
        <f t="shared" si="315"/>
        <v>18</v>
      </c>
      <c r="Y440" s="19">
        <f>RANK(AI440,$AI$425:$AI$442,0)+COUNTIF($AI$424:AI439,AI440)</f>
        <v>18</v>
      </c>
      <c r="Z440" s="19" t="str">
        <f t="shared" si="316"/>
        <v>SC Paderborn 07</v>
      </c>
      <c r="AA440" s="19">
        <f>COUNTIFS(F4:F232,Z440,G4:G232,"&gt;=0")+COUNTIFS(I4:I232,Z440,H4:H232,"&gt;=0")</f>
        <v>21</v>
      </c>
      <c r="AB440" s="19">
        <f>COUNTIFS(F4:F232,Z440,B4:B232,3)+COUNTIFS(I4:I232,Z440,M4:M232,3)</f>
        <v>4</v>
      </c>
      <c r="AC440" s="19">
        <f>COUNTIFS(F4:F232,Z440,B4:B232,1)+COUNTIFS(I4:I232,Z440,M4:M232,1)</f>
        <v>4</v>
      </c>
      <c r="AD440" s="19">
        <f>COUNTIFS(F4:F232,Z440,B4:B232,0)+COUNTIFS(I4:I232,Z440,M4:M232,0)</f>
        <v>13</v>
      </c>
      <c r="AE440" s="19">
        <f>SUMIF(F4:F232,Z440,G4:G232)+SUMIF(I4:I232,Z440,H4:H232)</f>
        <v>26</v>
      </c>
      <c r="AF440" s="19">
        <f>SUMIF(F4:F232,Z440,H4:H232)+SUMIF(I4:I232,Z440,G4:G232)</f>
        <v>45</v>
      </c>
      <c r="AG440" s="19">
        <f t="shared" si="319"/>
        <v>-19</v>
      </c>
      <c r="AH440" s="19">
        <f t="shared" si="320"/>
        <v>16</v>
      </c>
      <c r="AI440" s="19">
        <f t="shared" si="318"/>
        <v>15999.835999999999</v>
      </c>
      <c r="AJ440" s="2"/>
      <c r="AW440" s="7"/>
    </row>
    <row r="441" spans="1:49" x14ac:dyDescent="0.25">
      <c r="A441" s="1"/>
      <c r="B441" s="1"/>
      <c r="C441" s="1"/>
      <c r="D441" s="64"/>
      <c r="E441" s="1"/>
      <c r="G441" s="1"/>
      <c r="H441" s="1"/>
      <c r="K441" s="64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2" t="str">
        <f t="shared" si="317"/>
        <v>VfL Wolfsburg</v>
      </c>
      <c r="W441" s="2">
        <f t="shared" si="315"/>
        <v>10</v>
      </c>
      <c r="Y441" s="19">
        <f>RANK(AI441,$AI$425:$AI$442,0)+COUNTIF($AI$424:AI440,AI441)</f>
        <v>10</v>
      </c>
      <c r="Z441" s="19" t="str">
        <f t="shared" si="316"/>
        <v>VfL Wolfsburg</v>
      </c>
      <c r="AA441" s="19">
        <f>COUNTIFS(F4:F232,Z441,G4:G232,"&gt;=0")+COUNTIFS(I4:I232,Z441,H4:H232,"&gt;=0")</f>
        <v>21</v>
      </c>
      <c r="AB441" s="19">
        <f>COUNTIFS(F4:F232,Z441,B4:B232,3)+COUNTIFS(I4:I232,Z441,M4:M232,3)</f>
        <v>7</v>
      </c>
      <c r="AC441" s="19">
        <f>COUNTIFS(F4:F232,Z441,B4:B232,1)+COUNTIFS(I4:I232,Z441,M4:M232,1)</f>
        <v>7</v>
      </c>
      <c r="AD441" s="19">
        <f>COUNTIFS(F4:F232,Z441,B4:B232,0)+COUNTIFS(I4:I232,Z441,M4:M232,0)</f>
        <v>7</v>
      </c>
      <c r="AE441" s="19">
        <f>SUMIF(F4:F232,Z441,G4:G232)+SUMIF(I4:I232,Z441,H4:H232)</f>
        <v>25</v>
      </c>
      <c r="AF441" s="19">
        <f>SUMIF(F4:F232,Z441,H4:H232)+SUMIF(I4:I232,Z441,G4:G232)</f>
        <v>26</v>
      </c>
      <c r="AG441" s="19">
        <f t="shared" si="319"/>
        <v>-1</v>
      </c>
      <c r="AH441" s="19">
        <f t="shared" si="320"/>
        <v>28</v>
      </c>
      <c r="AI441" s="19">
        <f t="shared" si="318"/>
        <v>28000.015000000003</v>
      </c>
      <c r="AJ441" s="2"/>
      <c r="AW441" s="7"/>
    </row>
    <row r="442" spans="1:49" x14ac:dyDescent="0.25">
      <c r="A442" s="1"/>
      <c r="B442" s="1"/>
      <c r="C442" s="1"/>
      <c r="D442" s="64"/>
      <c r="E442" s="1"/>
      <c r="G442" s="1"/>
      <c r="H442" s="1"/>
      <c r="K442" s="64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2" t="str">
        <f t="shared" si="317"/>
        <v>Werder Bremen</v>
      </c>
      <c r="W442" s="2">
        <f t="shared" si="315"/>
        <v>17</v>
      </c>
      <c r="Y442" s="19">
        <f>RANK(AI442,$AI$425:$AI$442,0)+COUNTIF($AI$424:AI441,AI442)</f>
        <v>17</v>
      </c>
      <c r="Z442" s="19" t="str">
        <f t="shared" si="316"/>
        <v>Werder Bremen</v>
      </c>
      <c r="AA442" s="19">
        <f>COUNTIFS(F4:F232,Z442,G4:G232,"&gt;=0")+COUNTIFS(I4:I232,Z442,H4:H232,"&gt;=0")</f>
        <v>21</v>
      </c>
      <c r="AB442" s="19">
        <f>COUNTIFS(F4:F232,Z442,B4:B232,3)+COUNTIFS(I4:I232,Z442,M4:M232,3)</f>
        <v>4</v>
      </c>
      <c r="AC442" s="19">
        <f>COUNTIFS(F4:F232,Z442,B4:B232,1)+COUNTIFS(I4:I232,Z442,M4:M232,1)</f>
        <v>5</v>
      </c>
      <c r="AD442" s="19">
        <f>COUNTIFS(F4:F232,Z442,B4:B232,0)+COUNTIFS(I4:I232,Z442,M4:M232,0)</f>
        <v>12</v>
      </c>
      <c r="AE442" s="19">
        <f>SUMIF(F4:F232,Z442,G4:G232)+SUMIF(I4:I232,Z442,H4:H232)</f>
        <v>25</v>
      </c>
      <c r="AF442" s="19">
        <f>SUMIF(F4:F232,Z442,H4:H232)+SUMIF(I4:I232,Z442,G4:G232)</f>
        <v>48</v>
      </c>
      <c r="AG442" s="19">
        <f t="shared" si="319"/>
        <v>-23</v>
      </c>
      <c r="AH442" s="19">
        <f t="shared" si="320"/>
        <v>17</v>
      </c>
      <c r="AI442" s="19">
        <f t="shared" si="318"/>
        <v>16999.795000000002</v>
      </c>
      <c r="AJ442" s="2"/>
      <c r="AW442" s="7"/>
    </row>
    <row r="443" spans="1:49" x14ac:dyDescent="0.25">
      <c r="AW443" s="7"/>
    </row>
    <row r="444" spans="1:49" x14ac:dyDescent="0.25">
      <c r="A444" s="1"/>
      <c r="B444" s="1"/>
      <c r="C444" s="1"/>
      <c r="D444" s="64"/>
      <c r="E444" s="1"/>
      <c r="G444" s="1"/>
      <c r="H444" s="1"/>
      <c r="K444" s="64"/>
      <c r="L444" s="1"/>
      <c r="M444" s="1"/>
      <c r="N444" s="1"/>
      <c r="O444" s="1"/>
      <c r="P444" s="1"/>
      <c r="Q444" s="1"/>
      <c r="R444" s="1"/>
      <c r="S444" s="1"/>
      <c r="T444" s="1"/>
      <c r="U444" s="1"/>
      <c r="W444" s="18">
        <v>22</v>
      </c>
      <c r="Y444" s="19"/>
      <c r="Z444" s="19" t="s">
        <v>1</v>
      </c>
      <c r="AA444" s="19" t="s">
        <v>2</v>
      </c>
      <c r="AB444" s="19" t="s">
        <v>3</v>
      </c>
      <c r="AC444" s="19" t="s">
        <v>4</v>
      </c>
      <c r="AD444" s="19" t="s">
        <v>5</v>
      </c>
      <c r="AE444" s="19" t="s">
        <v>6</v>
      </c>
      <c r="AF444" s="19" t="s">
        <v>7</v>
      </c>
      <c r="AG444" s="19" t="s">
        <v>8</v>
      </c>
      <c r="AH444" s="19" t="s">
        <v>9</v>
      </c>
      <c r="AI444" s="19" t="s">
        <v>0</v>
      </c>
      <c r="AJ444" s="2"/>
      <c r="AW444" s="7"/>
    </row>
    <row r="445" spans="1:49" x14ac:dyDescent="0.25">
      <c r="A445" s="1"/>
      <c r="B445" s="1"/>
      <c r="C445" s="1"/>
      <c r="D445" s="64"/>
      <c r="E445" s="1"/>
      <c r="G445" s="1"/>
      <c r="H445" s="1"/>
      <c r="K445" s="64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2" t="str">
        <f>CONCATENATE(Z445)</f>
        <v>1. FC Köln</v>
      </c>
      <c r="W445" s="2">
        <f t="shared" ref="W445:W462" si="321">Y445</f>
        <v>14</v>
      </c>
      <c r="Y445" s="19">
        <f>RANK(AI445,$AI$445:$AI$462,0)+COUNTIF($AI$444:AI444,AI445)</f>
        <v>14</v>
      </c>
      <c r="Z445" s="19" t="str">
        <f>CONCATENATE(Z5)</f>
        <v>1. FC Köln</v>
      </c>
      <c r="AA445" s="19">
        <f>COUNTIFS(F4:F243,Z445,G4:G243,"&gt;=0")+COUNTIFS(I4:I243,Z445,H4:H243,"&gt;=0")</f>
        <v>21</v>
      </c>
      <c r="AB445" s="19">
        <f>COUNTIFS(F4:F243,Z445,B4:B243,3)+COUNTIFS(I4:I243,Z445,M4:M243,3)</f>
        <v>7</v>
      </c>
      <c r="AC445" s="19">
        <f>COUNTIFS(F4:F243,Z445,B4:B243,1)+COUNTIFS(I4:I243,Z445,M4:M243,1)</f>
        <v>2</v>
      </c>
      <c r="AD445" s="19">
        <f>COUNTIFS(F4:F243,Z445,B4:B243,0)+COUNTIFS(I4:I243,Z445,M4:M243,0)</f>
        <v>12</v>
      </c>
      <c r="AE445" s="19">
        <f>SUMIF(F4:F243,Z445,G4:G243)+SUMIF(I4:I243,Z445,H4:H243)</f>
        <v>28</v>
      </c>
      <c r="AF445" s="19">
        <f>SUMIF(F4:F243,Z445,H4:H243)+SUMIF(I4:I243,Z445,G4:G243)</f>
        <v>42</v>
      </c>
      <c r="AG445" s="19">
        <f>+AE445-AF445</f>
        <v>-14</v>
      </c>
      <c r="AH445" s="19">
        <f>(AB445*3)+AC445</f>
        <v>23</v>
      </c>
      <c r="AI445" s="19">
        <f>SUM(AH445*1000+(AG445)/100+(AE445)/1000)</f>
        <v>22999.887999999999</v>
      </c>
      <c r="AJ445" s="2"/>
      <c r="AW445" s="7"/>
    </row>
    <row r="446" spans="1:49" x14ac:dyDescent="0.25">
      <c r="A446" s="1"/>
      <c r="B446" s="1"/>
      <c r="C446" s="1"/>
      <c r="D446" s="64"/>
      <c r="E446" s="1"/>
      <c r="G446" s="1"/>
      <c r="H446" s="1"/>
      <c r="K446" s="64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2" t="str">
        <f t="shared" ref="V446:V462" si="322">CONCATENATE(Z446)</f>
        <v>1. FC Union Berlin</v>
      </c>
      <c r="W446" s="2">
        <f t="shared" si="321"/>
        <v>12</v>
      </c>
      <c r="Y446" s="19">
        <f>RANK(AI446,$AI$445:$AI$462,0)+COUNTIF($AI$444:AI445,AI446)</f>
        <v>12</v>
      </c>
      <c r="Z446" s="19" t="str">
        <f t="shared" ref="Z446:Z462" si="323">CONCATENATE(Z6)</f>
        <v>1. FC Union Berlin</v>
      </c>
      <c r="AA446" s="19">
        <f>COUNTIFS(F4:F243,Z446,G4:G243,"&gt;=0")+COUNTIFS(I4:I243,Z446,H4:H243,"&gt;=0")</f>
        <v>22</v>
      </c>
      <c r="AB446" s="19">
        <f>COUNTIFS(F4:F243,Z446,B4:B243,3)+COUNTIFS(I4:I243,Z446,M4:M243,3)</f>
        <v>8</v>
      </c>
      <c r="AC446" s="19">
        <f>COUNTIFS(F4:F243,Z446,B4:B243,1)+COUNTIFS(I4:I243,Z446,M4:M243,1)</f>
        <v>2</v>
      </c>
      <c r="AD446" s="19">
        <f>COUNTIFS(F4:F243,Z446,B4:B243,0)+COUNTIFS(I4:I243,Z446,M4:M243,0)</f>
        <v>12</v>
      </c>
      <c r="AE446" s="19">
        <f>SUMIF(F4:F243,Z446,G4:G243)+SUMIF(I4:I243,Z446,H4:H243)</f>
        <v>27</v>
      </c>
      <c r="AF446" s="19">
        <f>SUMIF(F4:F243,Z446,H4:H243)+SUMIF(I4:I243,Z446,G4:G243)</f>
        <v>35</v>
      </c>
      <c r="AG446" s="19">
        <f>+AE446-AF446</f>
        <v>-8</v>
      </c>
      <c r="AH446" s="19">
        <f>(AB446*3)+AC446</f>
        <v>26</v>
      </c>
      <c r="AI446" s="19">
        <f t="shared" ref="AI446:AI462" si="324">SUM(AH446*1000+(AG446)/100+(AE446)/1000)</f>
        <v>25999.946999999996</v>
      </c>
      <c r="AJ446" s="2"/>
      <c r="AW446" s="7"/>
    </row>
    <row r="447" spans="1:49" x14ac:dyDescent="0.25">
      <c r="A447" s="1"/>
      <c r="B447" s="1"/>
      <c r="C447" s="1"/>
      <c r="D447" s="64"/>
      <c r="E447" s="1"/>
      <c r="G447" s="1"/>
      <c r="H447" s="1"/>
      <c r="K447" s="64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2" t="str">
        <f t="shared" si="322"/>
        <v>1. FSV Mainz 05</v>
      </c>
      <c r="W447" s="2">
        <f t="shared" si="321"/>
        <v>15</v>
      </c>
      <c r="Y447" s="19">
        <f>RANK(AI447,$AI$445:$AI$462,0)+COUNTIF($AI$444:AI446,AI447)</f>
        <v>15</v>
      </c>
      <c r="Z447" s="19" t="str">
        <f t="shared" si="323"/>
        <v>1. FSV Mainz 05</v>
      </c>
      <c r="AA447" s="19">
        <f>COUNTIFS(F4:F243,Z447,G4:G243,"&gt;=0")+COUNTIFS(I4:I243,Z447,H4:H243,"&gt;=0")</f>
        <v>22</v>
      </c>
      <c r="AB447" s="19">
        <f>COUNTIFS(F4:F243,Z447,B4:B243,3)+COUNTIFS(I4:I243,Z447,M4:M243,3)</f>
        <v>7</v>
      </c>
      <c r="AC447" s="19">
        <f>COUNTIFS(F4:F243,Z447,B4:B243,1)+COUNTIFS(I4:I243,Z447,M4:M243,1)</f>
        <v>1</v>
      </c>
      <c r="AD447" s="19">
        <f>COUNTIFS(F4:F243,Z447,B4:B243,0)+COUNTIFS(I4:I243,Z447,M4:M243,0)</f>
        <v>14</v>
      </c>
      <c r="AE447" s="19">
        <f>SUMIF(F4:F243,Z447,G4:G243)+SUMIF(I4:I243,Z447,H4:H243)</f>
        <v>31</v>
      </c>
      <c r="AF447" s="19">
        <f>SUMIF(F4:F243,Z447,H4:H243)+SUMIF(I4:I243,Z447,G4:G243)</f>
        <v>48</v>
      </c>
      <c r="AG447" s="19">
        <f>+AE447-AF447</f>
        <v>-17</v>
      </c>
      <c r="AH447" s="19">
        <f>(AB447*3)+AC447</f>
        <v>22</v>
      </c>
      <c r="AI447" s="19">
        <f t="shared" si="324"/>
        <v>21999.861000000001</v>
      </c>
      <c r="AJ447" s="2"/>
      <c r="AW447" s="7"/>
    </row>
    <row r="448" spans="1:49" x14ac:dyDescent="0.25">
      <c r="A448" s="1"/>
      <c r="B448" s="1"/>
      <c r="C448" s="1"/>
      <c r="D448" s="64"/>
      <c r="E448" s="1"/>
      <c r="G448" s="1"/>
      <c r="H448" s="1"/>
      <c r="K448" s="64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2" t="str">
        <f t="shared" si="322"/>
        <v>1899 Hoffenheim</v>
      </c>
      <c r="W448" s="2">
        <f t="shared" si="321"/>
        <v>8</v>
      </c>
      <c r="Y448" s="19">
        <f>RANK(AI448,$AI$445:$AI$462,0)+COUNTIF($AI$444:AI447,AI448)</f>
        <v>8</v>
      </c>
      <c r="Z448" s="19" t="str">
        <f t="shared" si="323"/>
        <v>1899 Hoffenheim</v>
      </c>
      <c r="AA448" s="19">
        <f>COUNTIFS(F4:F243,Z448,G4:G243,"&gt;=0")+COUNTIFS(I4:I243,Z448,H4:H243,"&gt;=0")</f>
        <v>22</v>
      </c>
      <c r="AB448" s="19">
        <f>COUNTIFS(F4:F243,Z448,B4:B243,3)+COUNTIFS(I4:I243,Z448,M4:M243,3)</f>
        <v>10</v>
      </c>
      <c r="AC448" s="19">
        <f>COUNTIFS(F4:F243,Z448,B4:B243,1)+COUNTIFS(I4:I243,Z448,M4:M243,1)</f>
        <v>3</v>
      </c>
      <c r="AD448" s="19">
        <f>COUNTIFS(F4:F243,Z448,B4:B243,0)+COUNTIFS(I4:I243,Z448,M4:M243,0)</f>
        <v>9</v>
      </c>
      <c r="AE448" s="19">
        <f>SUMIF(F4:F243,Z448,G4:G243)+SUMIF(I4:I243,Z448,H4:H243)</f>
        <v>33</v>
      </c>
      <c r="AF448" s="19">
        <f>SUMIF(F4:F243,Z448,H4:H243)+SUMIF(I4:I243,Z448,G4:G243)</f>
        <v>35</v>
      </c>
      <c r="AG448" s="19">
        <f t="shared" ref="AG448:AG462" si="325">+AE448-AF448</f>
        <v>-2</v>
      </c>
      <c r="AH448" s="19">
        <f>(AB448*3)+AC448</f>
        <v>33</v>
      </c>
      <c r="AI448" s="19">
        <f t="shared" si="324"/>
        <v>33000.013000000006</v>
      </c>
      <c r="AJ448" s="2"/>
      <c r="AW448" s="7"/>
    </row>
    <row r="449" spans="1:49" x14ac:dyDescent="0.25">
      <c r="A449" s="1"/>
      <c r="B449" s="1"/>
      <c r="C449" s="1"/>
      <c r="D449" s="64"/>
      <c r="E449" s="1"/>
      <c r="G449" s="1"/>
      <c r="H449" s="1"/>
      <c r="K449" s="64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2" t="str">
        <f t="shared" si="322"/>
        <v>Bayer Leverkusen</v>
      </c>
      <c r="W449" s="2">
        <f t="shared" si="321"/>
        <v>5</v>
      </c>
      <c r="Y449" s="19">
        <f>RANK(AI449,$AI$445:$AI$462,0)+COUNTIF($AI$444:AI448,AI449)</f>
        <v>5</v>
      </c>
      <c r="Z449" s="19" t="str">
        <f t="shared" si="323"/>
        <v>Bayer Leverkusen</v>
      </c>
      <c r="AA449" s="19">
        <f>COUNTIFS(F4:F243,Z449,G4:G243,"&gt;=0")+COUNTIFS(I4:I243,Z449,H4:H243,"&gt;=0")</f>
        <v>22</v>
      </c>
      <c r="AB449" s="19">
        <f>COUNTIFS(F4:F243,Z449,B4:B243,3)+COUNTIFS(I4:I243,Z449,M4:M243,3)</f>
        <v>12</v>
      </c>
      <c r="AC449" s="19">
        <f>COUNTIFS(F4:F243,Z449,B4:B243,1)+COUNTIFS(I4:I243,Z449,M4:M243,1)</f>
        <v>4</v>
      </c>
      <c r="AD449" s="19">
        <f>COUNTIFS(F4:F243,Z449,B4:B243,0)+COUNTIFS(I4:I243,Z449,M4:M243,0)</f>
        <v>6</v>
      </c>
      <c r="AE449" s="19">
        <f>SUMIF(F4:F243,Z449,G4:G243)+SUMIF(I4:I243,Z449,H4:H243)</f>
        <v>38</v>
      </c>
      <c r="AF449" s="19">
        <f>SUMIF(F4:F243,Z449,H4:H243)+SUMIF(I4:I243,Z449,G4:G243)</f>
        <v>29</v>
      </c>
      <c r="AG449" s="19">
        <f t="shared" si="325"/>
        <v>9</v>
      </c>
      <c r="AH449" s="19">
        <f>(AB449*3)+AC449</f>
        <v>40</v>
      </c>
      <c r="AI449" s="19">
        <f t="shared" si="324"/>
        <v>40000.127999999997</v>
      </c>
      <c r="AJ449" s="2"/>
      <c r="AW449" s="7"/>
    </row>
    <row r="450" spans="1:49" x14ac:dyDescent="0.25">
      <c r="A450" s="1"/>
      <c r="B450" s="1"/>
      <c r="C450" s="1"/>
      <c r="D450" s="64"/>
      <c r="E450" s="1"/>
      <c r="G450" s="1"/>
      <c r="H450" s="1"/>
      <c r="K450" s="64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2" t="str">
        <f t="shared" si="322"/>
        <v>Bayern München</v>
      </c>
      <c r="W450" s="2">
        <f t="shared" si="321"/>
        <v>1</v>
      </c>
      <c r="Y450" s="19">
        <f>RANK(AI450,$AI$445:$AI$462,0)+COUNTIF($AI$444:AI449,AI450)</f>
        <v>1</v>
      </c>
      <c r="Z450" s="19" t="str">
        <f t="shared" si="323"/>
        <v>Bayern München</v>
      </c>
      <c r="AA450" s="19">
        <f>COUNTIFS(F4:F243,Z450,G4:G243,"&gt;=0")+COUNTIFS(I4:I243,Z450,H4:H243,"&gt;=0")</f>
        <v>22</v>
      </c>
      <c r="AB450" s="19">
        <f>COUNTIFS(F4:F243,Z450,B4:B243,3)+COUNTIFS(I4:I243,Z450,M4:M243,3)</f>
        <v>14</v>
      </c>
      <c r="AC450" s="19">
        <f>COUNTIFS(F4:F243,Z450,B4:B243,1)+COUNTIFS(I4:I243,Z450,M4:M243,1)</f>
        <v>4</v>
      </c>
      <c r="AD450" s="19">
        <f>COUNTIFS(F4:F243,Z450,B4:B243,0)+COUNTIFS(I4:I243,Z450,M4:M243,0)</f>
        <v>4</v>
      </c>
      <c r="AE450" s="19">
        <f>SUMIF(F4:F243,Z450,G4:G243)+SUMIF(I4:I243,Z450,H4:H243)</f>
        <v>62</v>
      </c>
      <c r="AF450" s="19">
        <f>SUMIF(F4:F243,Z450,H4:H243)+SUMIF(I4:I243,Z450,G4:G243)</f>
        <v>24</v>
      </c>
      <c r="AG450" s="19">
        <f t="shared" si="325"/>
        <v>38</v>
      </c>
      <c r="AH450" s="19">
        <f t="shared" ref="AH450:AH462" si="326">(AB450*3)+AC450</f>
        <v>46</v>
      </c>
      <c r="AI450" s="19">
        <f t="shared" si="324"/>
        <v>46000.441999999995</v>
      </c>
      <c r="AJ450" s="2"/>
      <c r="AW450" s="7"/>
    </row>
    <row r="451" spans="1:49" x14ac:dyDescent="0.25">
      <c r="A451" s="1"/>
      <c r="B451" s="1"/>
      <c r="C451" s="1"/>
      <c r="D451" s="64"/>
      <c r="E451" s="1"/>
      <c r="G451" s="1"/>
      <c r="H451" s="1"/>
      <c r="K451" s="64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2" t="str">
        <f t="shared" si="322"/>
        <v>Bor. Mönchengladbach</v>
      </c>
      <c r="W451" s="2">
        <f t="shared" si="321"/>
        <v>4</v>
      </c>
      <c r="Y451" s="19">
        <f>RANK(AI451,$AI$445:$AI$462,0)+COUNTIF($AI$444:AI450,AI451)</f>
        <v>4</v>
      </c>
      <c r="Z451" s="19" t="str">
        <f t="shared" si="323"/>
        <v>Bor. Mönchengladbach</v>
      </c>
      <c r="AA451" s="19">
        <f>COUNTIFS(F4:F243,Z451,G4:G243,"&gt;=0")+COUNTIFS(I4:I243,Z451,H4:H243,"&gt;=0")</f>
        <v>21</v>
      </c>
      <c r="AB451" s="19">
        <f>COUNTIFS(F4:F243,Z451,B4:B243,3)+COUNTIFS(I4:I243,Z451,M4:M243,3)</f>
        <v>13</v>
      </c>
      <c r="AC451" s="19">
        <f>COUNTIFS(F4:F243,Z451,B4:B243,1)+COUNTIFS(I4:I243,Z451,M4:M243,1)</f>
        <v>3</v>
      </c>
      <c r="AD451" s="19">
        <f>COUNTIFS(F4:F243,Z451,B4:B243,0)+COUNTIFS(I4:I243,Z451,M4:M243,0)</f>
        <v>5</v>
      </c>
      <c r="AE451" s="19">
        <f>SUMIF(F4:F243,Z451,G4:G243)+SUMIF(I4:I243,Z451,H4:H243)</f>
        <v>42</v>
      </c>
      <c r="AF451" s="19">
        <f>SUMIF(F4:F243,Z451,H4:H243)+SUMIF(I4:I243,Z451,G4:G243)</f>
        <v>24</v>
      </c>
      <c r="AG451" s="19">
        <f t="shared" si="325"/>
        <v>18</v>
      </c>
      <c r="AH451" s="19">
        <f t="shared" si="326"/>
        <v>42</v>
      </c>
      <c r="AI451" s="19">
        <f t="shared" si="324"/>
        <v>42000.222000000002</v>
      </c>
      <c r="AJ451" s="2"/>
      <c r="AW451" s="7"/>
    </row>
    <row r="452" spans="1:49" x14ac:dyDescent="0.25">
      <c r="A452" s="1"/>
      <c r="B452" s="1"/>
      <c r="C452" s="1"/>
      <c r="D452" s="64"/>
      <c r="E452" s="1"/>
      <c r="G452" s="1"/>
      <c r="H452" s="1"/>
      <c r="K452" s="64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2" t="str">
        <f t="shared" si="322"/>
        <v>Borussia Dortmund</v>
      </c>
      <c r="W452" s="2">
        <f t="shared" si="321"/>
        <v>3</v>
      </c>
      <c r="Y452" s="19">
        <f>RANK(AI452,$AI$445:$AI$462,0)+COUNTIF($AI$444:AI451,AI452)</f>
        <v>3</v>
      </c>
      <c r="Z452" s="19" t="str">
        <f t="shared" si="323"/>
        <v>Borussia Dortmund</v>
      </c>
      <c r="AA452" s="19">
        <f>COUNTIFS(F4:F243,Z452,G4:G243,"&gt;=0")+COUNTIFS(I4:I243,Z452,H4:H243,"&gt;=0")</f>
        <v>22</v>
      </c>
      <c r="AB452" s="19">
        <f>COUNTIFS(F4:F243,Z452,B4:B243,3)+COUNTIFS(I4:I243,Z452,M4:M243,3)</f>
        <v>12</v>
      </c>
      <c r="AC452" s="19">
        <f>COUNTIFS(F4:F243,Z452,B4:B243,1)+COUNTIFS(I4:I243,Z452,M4:M243,1)</f>
        <v>6</v>
      </c>
      <c r="AD452" s="19">
        <f>COUNTIFS(F4:F243,Z452,B4:B243,0)+COUNTIFS(I4:I243,Z452,M4:M243,0)</f>
        <v>4</v>
      </c>
      <c r="AE452" s="19">
        <f>SUMIF(F4:F243,Z452,G4:G243)+SUMIF(I4:I243,Z452,H4:H243)</f>
        <v>63</v>
      </c>
      <c r="AF452" s="19">
        <f>SUMIF(F4:F243,Z452,H4:H243)+SUMIF(I4:I243,Z452,G4:G243)</f>
        <v>32</v>
      </c>
      <c r="AG452" s="19">
        <f t="shared" si="325"/>
        <v>31</v>
      </c>
      <c r="AH452" s="19">
        <f t="shared" si="326"/>
        <v>42</v>
      </c>
      <c r="AI452" s="19">
        <f t="shared" si="324"/>
        <v>42000.373</v>
      </c>
      <c r="AJ452" s="2"/>
      <c r="AW452" s="7"/>
    </row>
    <row r="453" spans="1:49" x14ac:dyDescent="0.25">
      <c r="A453" s="1"/>
      <c r="B453" s="1"/>
      <c r="C453" s="1"/>
      <c r="D453" s="64"/>
      <c r="E453" s="1"/>
      <c r="G453" s="1"/>
      <c r="H453" s="1"/>
      <c r="K453" s="64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2" t="str">
        <f t="shared" si="322"/>
        <v>Eintracht Frankfurt</v>
      </c>
      <c r="W453" s="2">
        <f t="shared" si="321"/>
        <v>10</v>
      </c>
      <c r="Y453" s="19">
        <f>RANK(AI453,$AI$445:$AI$462,0)+COUNTIF($AI$444:AI452,AI453)</f>
        <v>10</v>
      </c>
      <c r="Z453" s="19" t="str">
        <f t="shared" si="323"/>
        <v>Eintracht Frankfurt</v>
      </c>
      <c r="AA453" s="19">
        <f>COUNTIFS(F4:F243,Z453,G4:G243,"&gt;=0")+COUNTIFS(I4:I243,Z453,H4:H243,"&gt;=0")</f>
        <v>22</v>
      </c>
      <c r="AB453" s="19">
        <f>COUNTIFS(F4:F243,Z453,B4:B243,3)+COUNTIFS(I4:I243,Z453,M4:M243,3)</f>
        <v>8</v>
      </c>
      <c r="AC453" s="19">
        <f>COUNTIFS(F4:F243,Z453,B4:B243,1)+COUNTIFS(I4:I243,Z453,M4:M243,1)</f>
        <v>4</v>
      </c>
      <c r="AD453" s="19">
        <f>COUNTIFS(F4:F243,Z453,B4:B243,0)+COUNTIFS(I4:I243,Z453,M4:M243,0)</f>
        <v>10</v>
      </c>
      <c r="AE453" s="19">
        <f>SUMIF(F4:F243,Z453,G4:G243)+SUMIF(I4:I243,Z453,H4:H243)</f>
        <v>37</v>
      </c>
      <c r="AF453" s="19">
        <f>SUMIF(F4:F243,Z453,H4:H243)+SUMIF(I4:I243,Z453,G4:G243)</f>
        <v>35</v>
      </c>
      <c r="AG453" s="19">
        <f t="shared" si="325"/>
        <v>2</v>
      </c>
      <c r="AH453" s="19">
        <f t="shared" si="326"/>
        <v>28</v>
      </c>
      <c r="AI453" s="19">
        <f t="shared" si="324"/>
        <v>28000.057000000001</v>
      </c>
      <c r="AJ453" s="2"/>
      <c r="AW453" s="7"/>
    </row>
    <row r="454" spans="1:49" x14ac:dyDescent="0.25">
      <c r="A454" s="1"/>
      <c r="B454" s="1"/>
      <c r="C454" s="1"/>
      <c r="D454" s="64"/>
      <c r="E454" s="1"/>
      <c r="G454" s="1"/>
      <c r="H454" s="1"/>
      <c r="K454" s="64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2" t="str">
        <f t="shared" si="322"/>
        <v>FC Augsburg</v>
      </c>
      <c r="W454" s="2">
        <f t="shared" si="321"/>
        <v>11</v>
      </c>
      <c r="Y454" s="19">
        <f>RANK(AI454,$AI$445:$AI$462,0)+COUNTIF($AI$444:AI453,AI454)</f>
        <v>11</v>
      </c>
      <c r="Z454" s="19" t="str">
        <f t="shared" si="323"/>
        <v>FC Augsburg</v>
      </c>
      <c r="AA454" s="19">
        <f>COUNTIFS(F4:F243,Z454,G4:G243,"&gt;=0")+COUNTIFS(I4:I243,Z454,H4:H243,"&gt;=0")</f>
        <v>22</v>
      </c>
      <c r="AB454" s="19">
        <f>COUNTIFS(F4:F243,Z454,B4:B243,3)+COUNTIFS(I4:I243,Z454,M4:M243,3)</f>
        <v>7</v>
      </c>
      <c r="AC454" s="19">
        <f>COUNTIFS(F4:F243,Z454,B4:B243,1)+COUNTIFS(I4:I243,Z454,M4:M243,1)</f>
        <v>6</v>
      </c>
      <c r="AD454" s="19">
        <f>COUNTIFS(F4:F243,Z454,B4:B243,0)+COUNTIFS(I4:I243,Z454,M4:M243,0)</f>
        <v>9</v>
      </c>
      <c r="AE454" s="19">
        <f>SUMIF(F4:F243,Z454,G4:G243)+SUMIF(I4:I243,Z454,H4:H243)</f>
        <v>34</v>
      </c>
      <c r="AF454" s="19">
        <f>SUMIF(F4:F243,Z454,H4:H243)+SUMIF(I4:I243,Z454,G4:G243)</f>
        <v>45</v>
      </c>
      <c r="AG454" s="19">
        <f t="shared" si="325"/>
        <v>-11</v>
      </c>
      <c r="AH454" s="19">
        <f t="shared" si="326"/>
        <v>27</v>
      </c>
      <c r="AI454" s="19">
        <f t="shared" si="324"/>
        <v>26999.923999999999</v>
      </c>
      <c r="AJ454" s="2"/>
      <c r="AW454" s="7"/>
    </row>
    <row r="455" spans="1:49" x14ac:dyDescent="0.25">
      <c r="A455" s="1"/>
      <c r="B455" s="1"/>
      <c r="C455" s="1"/>
      <c r="D455" s="64"/>
      <c r="E455" s="1"/>
      <c r="G455" s="1"/>
      <c r="H455" s="1"/>
      <c r="K455" s="64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2" t="str">
        <f t="shared" si="322"/>
        <v>FC Schalke 04</v>
      </c>
      <c r="W455" s="2">
        <f t="shared" si="321"/>
        <v>6</v>
      </c>
      <c r="Y455" s="19">
        <f>RANK(AI455,$AI$445:$AI$462,0)+COUNTIF($AI$444:AI454,AI455)</f>
        <v>6</v>
      </c>
      <c r="Z455" s="19" t="str">
        <f t="shared" si="323"/>
        <v>FC Schalke 04</v>
      </c>
      <c r="AA455" s="19">
        <f>COUNTIFS(F4:F243,Z455,G4:G243,"&gt;=0")+COUNTIFS(I4:I243,Z455,H4:H243,"&gt;=0")</f>
        <v>22</v>
      </c>
      <c r="AB455" s="19">
        <f>COUNTIFS(F4:F243,Z455,B4:B243,3)+COUNTIFS(I4:I243,Z455,M4:M243,3)</f>
        <v>9</v>
      </c>
      <c r="AC455" s="19">
        <f>COUNTIFS(F4:F243,Z455,B4:B243,1)+COUNTIFS(I4:I243,Z455,M4:M243,1)</f>
        <v>9</v>
      </c>
      <c r="AD455" s="19">
        <f>COUNTIFS(F4:F243,Z455,B4:B243,0)+COUNTIFS(I4:I243,Z455,M4:M243,0)</f>
        <v>4</v>
      </c>
      <c r="AE455" s="19">
        <f>SUMIF(F4:F243,Z455,G4:G243)+SUMIF(I4:I243,Z455,H4:H243)</f>
        <v>32</v>
      </c>
      <c r="AF455" s="19">
        <f>SUMIF(F4:F243,Z455,H4:H243)+SUMIF(I4:I243,Z455,G4:G243)</f>
        <v>27</v>
      </c>
      <c r="AG455" s="19">
        <f t="shared" si="325"/>
        <v>5</v>
      </c>
      <c r="AH455" s="19">
        <f t="shared" si="326"/>
        <v>36</v>
      </c>
      <c r="AI455" s="19">
        <f t="shared" si="324"/>
        <v>36000.082000000002</v>
      </c>
      <c r="AJ455" s="2"/>
      <c r="AW455" s="7"/>
    </row>
    <row r="456" spans="1:49" x14ac:dyDescent="0.25">
      <c r="A456" s="1"/>
      <c r="B456" s="1"/>
      <c r="C456" s="1"/>
      <c r="D456" s="64"/>
      <c r="E456" s="1"/>
      <c r="G456" s="1"/>
      <c r="H456" s="1"/>
      <c r="K456" s="64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2" t="str">
        <f t="shared" si="322"/>
        <v>Fortuna Düsseldorf</v>
      </c>
      <c r="W456" s="2">
        <f t="shared" si="321"/>
        <v>16</v>
      </c>
      <c r="Y456" s="19">
        <f>RANK(AI456,$AI$445:$AI$462,0)+COUNTIF($AI$444:AI455,AI456)</f>
        <v>16</v>
      </c>
      <c r="Z456" s="19" t="str">
        <f t="shared" si="323"/>
        <v>Fortuna Düsseldorf</v>
      </c>
      <c r="AA456" s="19">
        <f>COUNTIFS(F4:F243,Z456,G4:G243,"&gt;=0")+COUNTIFS(I4:I243,Z456,H4:H243,"&gt;=0")</f>
        <v>22</v>
      </c>
      <c r="AB456" s="19">
        <f>COUNTIFS(F4:F243,Z456,B4:B243,3)+COUNTIFS(I4:I243,Z456,M4:M243,3)</f>
        <v>4</v>
      </c>
      <c r="AC456" s="19">
        <f>COUNTIFS(F4:F243,Z456,B4:B243,1)+COUNTIFS(I4:I243,Z456,M4:M243,1)</f>
        <v>5</v>
      </c>
      <c r="AD456" s="19">
        <f>COUNTIFS(F4:F243,Z456,B4:B243,0)+COUNTIFS(I4:I243,Z456,M4:M243,0)</f>
        <v>13</v>
      </c>
      <c r="AE456" s="19">
        <f>SUMIF(F4:F243,Z456,G4:G243)+SUMIF(I4:I243,Z456,H4:H243)</f>
        <v>21</v>
      </c>
      <c r="AF456" s="19">
        <f>SUMIF(F4:F243,Z456,H4:H243)+SUMIF(I4:I243,Z456,G4:G243)</f>
        <v>46</v>
      </c>
      <c r="AG456" s="19">
        <f t="shared" si="325"/>
        <v>-25</v>
      </c>
      <c r="AH456" s="19">
        <f t="shared" si="326"/>
        <v>17</v>
      </c>
      <c r="AI456" s="19">
        <f t="shared" si="324"/>
        <v>16999.771000000001</v>
      </c>
      <c r="AJ456" s="2"/>
      <c r="AW456" s="7"/>
    </row>
    <row r="457" spans="1:49" x14ac:dyDescent="0.25">
      <c r="A457" s="1"/>
      <c r="B457" s="1"/>
      <c r="C457" s="1"/>
      <c r="D457" s="64"/>
      <c r="E457" s="1"/>
      <c r="G457" s="1"/>
      <c r="H457" s="1"/>
      <c r="K457" s="64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2" t="str">
        <f t="shared" si="322"/>
        <v>Hertha BSC</v>
      </c>
      <c r="W457" s="2">
        <f t="shared" si="321"/>
        <v>13</v>
      </c>
      <c r="Y457" s="19">
        <f>RANK(AI457,$AI$445:$AI$462,0)+COUNTIF($AI$444:AI456,AI457)</f>
        <v>13</v>
      </c>
      <c r="Z457" s="19" t="str">
        <f t="shared" si="323"/>
        <v>Hertha BSC</v>
      </c>
      <c r="AA457" s="19">
        <f>COUNTIFS(F4:F243,Z457,G4:G243,"&gt;=0")+COUNTIFS(I4:I243,Z457,H4:H243,"&gt;=0")</f>
        <v>22</v>
      </c>
      <c r="AB457" s="19">
        <f>COUNTIFS(F4:F243,Z457,B4:B243,3)+COUNTIFS(I4:I243,Z457,M4:M243,3)</f>
        <v>7</v>
      </c>
      <c r="AC457" s="19">
        <f>COUNTIFS(F4:F243,Z457,B4:B243,1)+COUNTIFS(I4:I243,Z457,M4:M243,1)</f>
        <v>5</v>
      </c>
      <c r="AD457" s="19">
        <f>COUNTIFS(F4:F243,Z457,B4:B243,0)+COUNTIFS(I4:I243,Z457,M4:M243,0)</f>
        <v>10</v>
      </c>
      <c r="AE457" s="19">
        <f>SUMIF(F4:F243,Z457,G4:G243)+SUMIF(I4:I243,Z457,H4:H243)</f>
        <v>27</v>
      </c>
      <c r="AF457" s="19">
        <f>SUMIF(F4:F243,Z457,H4:H243)+SUMIF(I4:I243,Z457,G4:G243)</f>
        <v>38</v>
      </c>
      <c r="AG457" s="19">
        <f t="shared" si="325"/>
        <v>-11</v>
      </c>
      <c r="AH457" s="19">
        <f t="shared" si="326"/>
        <v>26</v>
      </c>
      <c r="AI457" s="19">
        <f t="shared" si="324"/>
        <v>25999.916999999998</v>
      </c>
      <c r="AJ457" s="2"/>
      <c r="AW457" s="7"/>
    </row>
    <row r="458" spans="1:49" x14ac:dyDescent="0.25">
      <c r="A458" s="1"/>
      <c r="B458" s="1"/>
      <c r="C458" s="1"/>
      <c r="D458" s="64"/>
      <c r="E458" s="1"/>
      <c r="G458" s="1"/>
      <c r="H458" s="1"/>
      <c r="K458" s="64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2" t="str">
        <f t="shared" si="322"/>
        <v>RB Leipzig</v>
      </c>
      <c r="W458" s="2">
        <f t="shared" si="321"/>
        <v>2</v>
      </c>
      <c r="Y458" s="19">
        <f>RANK(AI458,$AI$445:$AI$462,0)+COUNTIF($AI$444:AI457,AI458)</f>
        <v>2</v>
      </c>
      <c r="Z458" s="19" t="str">
        <f t="shared" si="323"/>
        <v>RB Leipzig</v>
      </c>
      <c r="AA458" s="19">
        <f>COUNTIFS(F4:F243,Z458,G4:G243,"&gt;=0")+COUNTIFS(I4:I243,Z458,H4:H243,"&gt;=0")</f>
        <v>22</v>
      </c>
      <c r="AB458" s="19">
        <f>COUNTIFS(F4:F243,Z458,B4:B243,3)+COUNTIFS(I4:I243,Z458,M4:M243,3)</f>
        <v>13</v>
      </c>
      <c r="AC458" s="19">
        <f>COUNTIFS(F4:F243,Z458,B4:B243,1)+COUNTIFS(I4:I243,Z458,M4:M243,1)</f>
        <v>6</v>
      </c>
      <c r="AD458" s="19">
        <f>COUNTIFS(F4:F243,Z458,B4:B243,0)+COUNTIFS(I4:I243,Z458,M4:M243,0)</f>
        <v>3</v>
      </c>
      <c r="AE458" s="19">
        <f>SUMIF(F4:F243,Z458,G4:G243)+SUMIF(I4:I243,Z458,H4:H243)</f>
        <v>56</v>
      </c>
      <c r="AF458" s="19">
        <f>SUMIF(F4:F243,Z458,H4:H243)+SUMIF(I4:I243,Z458,G4:G243)</f>
        <v>25</v>
      </c>
      <c r="AG458" s="19">
        <f t="shared" si="325"/>
        <v>31</v>
      </c>
      <c r="AH458" s="19">
        <f t="shared" si="326"/>
        <v>45</v>
      </c>
      <c r="AI458" s="19">
        <f t="shared" si="324"/>
        <v>45000.365999999995</v>
      </c>
      <c r="AJ458" s="2"/>
      <c r="AW458" s="7"/>
    </row>
    <row r="459" spans="1:49" x14ac:dyDescent="0.25">
      <c r="A459" s="1"/>
      <c r="B459" s="1"/>
      <c r="C459" s="1"/>
      <c r="D459" s="64"/>
      <c r="E459" s="1"/>
      <c r="G459" s="1"/>
      <c r="H459" s="1"/>
      <c r="K459" s="64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2" t="str">
        <f t="shared" si="322"/>
        <v>SC Freiburg</v>
      </c>
      <c r="W459" s="2">
        <f t="shared" si="321"/>
        <v>7</v>
      </c>
      <c r="Y459" s="19">
        <f>RANK(AI459,$AI$445:$AI$462,0)+COUNTIF($AI$444:AI458,AI459)</f>
        <v>7</v>
      </c>
      <c r="Z459" s="19" t="str">
        <f t="shared" si="323"/>
        <v>SC Freiburg</v>
      </c>
      <c r="AA459" s="19">
        <f>COUNTIFS(F4:F243,Z459,G4:G243,"&gt;=0")+COUNTIFS(I4:I243,Z459,H4:H243,"&gt;=0")</f>
        <v>22</v>
      </c>
      <c r="AB459" s="19">
        <f>COUNTIFS(F4:F243,Z459,B4:B243,3)+COUNTIFS(I4:I243,Z459,M4:M243,3)</f>
        <v>9</v>
      </c>
      <c r="AC459" s="19">
        <f>COUNTIFS(F4:F243,Z459,B4:B243,1)+COUNTIFS(I4:I243,Z459,M4:M243,1)</f>
        <v>6</v>
      </c>
      <c r="AD459" s="19">
        <f>COUNTIFS(F4:F243,Z459,B4:B243,0)+COUNTIFS(I4:I243,Z459,M4:M243,0)</f>
        <v>7</v>
      </c>
      <c r="AE459" s="19">
        <f>SUMIF(F4:F243,Z459,G4:G243)+SUMIF(I4:I243,Z459,H4:H243)</f>
        <v>31</v>
      </c>
      <c r="AF459" s="19">
        <f>SUMIF(F4:F243,Z459,H4:H243)+SUMIF(I4:I243,Z459,G4:G243)</f>
        <v>31</v>
      </c>
      <c r="AG459" s="19">
        <f t="shared" si="325"/>
        <v>0</v>
      </c>
      <c r="AH459" s="19">
        <f t="shared" si="326"/>
        <v>33</v>
      </c>
      <c r="AI459" s="19">
        <f t="shared" si="324"/>
        <v>33000.031000000003</v>
      </c>
      <c r="AJ459" s="2"/>
      <c r="AW459" s="7"/>
    </row>
    <row r="460" spans="1:49" x14ac:dyDescent="0.25">
      <c r="A460" s="1"/>
      <c r="B460" s="1"/>
      <c r="C460" s="1"/>
      <c r="D460" s="64"/>
      <c r="E460" s="1"/>
      <c r="G460" s="1"/>
      <c r="H460" s="1"/>
      <c r="K460" s="64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2" t="str">
        <f t="shared" si="322"/>
        <v>SC Paderborn 07</v>
      </c>
      <c r="W460" s="2">
        <f t="shared" si="321"/>
        <v>18</v>
      </c>
      <c r="Y460" s="19">
        <f>RANK(AI460,$AI$445:$AI$462,0)+COUNTIF($AI$444:AI459,AI460)</f>
        <v>18</v>
      </c>
      <c r="Z460" s="19" t="str">
        <f t="shared" si="323"/>
        <v>SC Paderborn 07</v>
      </c>
      <c r="AA460" s="19">
        <f>COUNTIFS(F4:F243,Z460,G4:G243,"&gt;=0")+COUNTIFS(I4:I243,Z460,H4:H243,"&gt;=0")</f>
        <v>22</v>
      </c>
      <c r="AB460" s="19">
        <f>COUNTIFS(F4:F243,Z460,B4:B243,3)+COUNTIFS(I4:I243,Z460,M4:M243,3)</f>
        <v>4</v>
      </c>
      <c r="AC460" s="19">
        <f>COUNTIFS(F4:F243,Z460,B4:B243,1)+COUNTIFS(I4:I243,Z460,M4:M243,1)</f>
        <v>4</v>
      </c>
      <c r="AD460" s="19">
        <f>COUNTIFS(F4:F243,Z460,B4:B243,0)+COUNTIFS(I4:I243,Z460,M4:M243,0)</f>
        <v>14</v>
      </c>
      <c r="AE460" s="19">
        <f>SUMIF(F4:F243,Z460,G4:G243)+SUMIF(I4:I243,Z460,H4:H243)</f>
        <v>27</v>
      </c>
      <c r="AF460" s="19">
        <f>SUMIF(F4:F243,Z460,H4:H243)+SUMIF(I4:I243,Z460,G4:G243)</f>
        <v>47</v>
      </c>
      <c r="AG460" s="19">
        <f t="shared" si="325"/>
        <v>-20</v>
      </c>
      <c r="AH460" s="19">
        <f t="shared" si="326"/>
        <v>16</v>
      </c>
      <c r="AI460" s="19">
        <f t="shared" si="324"/>
        <v>15999.826999999999</v>
      </c>
      <c r="AJ460" s="2"/>
      <c r="AW460" s="7"/>
    </row>
    <row r="461" spans="1:49" x14ac:dyDescent="0.25">
      <c r="A461" s="1"/>
      <c r="B461" s="1"/>
      <c r="C461" s="1"/>
      <c r="D461" s="64"/>
      <c r="E461" s="1"/>
      <c r="G461" s="1"/>
      <c r="H461" s="1"/>
      <c r="K461" s="64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2" t="str">
        <f t="shared" si="322"/>
        <v>VfL Wolfsburg</v>
      </c>
      <c r="W461" s="2">
        <f t="shared" si="321"/>
        <v>9</v>
      </c>
      <c r="Y461" s="19">
        <f>RANK(AI461,$AI$445:$AI$462,0)+COUNTIF($AI$444:AI460,AI461)</f>
        <v>9</v>
      </c>
      <c r="Z461" s="19" t="str">
        <f t="shared" si="323"/>
        <v>VfL Wolfsburg</v>
      </c>
      <c r="AA461" s="19">
        <f>COUNTIFS(F4:F243,Z461,G4:G243,"&gt;=0")+COUNTIFS(I4:I243,Z461,H4:H243,"&gt;=0")</f>
        <v>22</v>
      </c>
      <c r="AB461" s="19">
        <f>COUNTIFS(F4:F243,Z461,B4:B243,3)+COUNTIFS(I4:I243,Z461,M4:M243,3)</f>
        <v>8</v>
      </c>
      <c r="AC461" s="19">
        <f>COUNTIFS(F4:F243,Z461,B4:B243,1)+COUNTIFS(I4:I243,Z461,M4:M243,1)</f>
        <v>7</v>
      </c>
      <c r="AD461" s="19">
        <f>COUNTIFS(F4:F243,Z461,B4:B243,0)+COUNTIFS(I4:I243,Z461,M4:M243,0)</f>
        <v>7</v>
      </c>
      <c r="AE461" s="19">
        <f>SUMIF(F4:F243,Z461,G4:G243)+SUMIF(I4:I243,Z461,H4:H243)</f>
        <v>28</v>
      </c>
      <c r="AF461" s="19">
        <f>SUMIF(F4:F243,Z461,H4:H243)+SUMIF(I4:I243,Z461,G4:G243)</f>
        <v>28</v>
      </c>
      <c r="AG461" s="19">
        <f t="shared" si="325"/>
        <v>0</v>
      </c>
      <c r="AH461" s="19">
        <f t="shared" si="326"/>
        <v>31</v>
      </c>
      <c r="AI461" s="19">
        <f t="shared" si="324"/>
        <v>31000.027999999998</v>
      </c>
      <c r="AJ461" s="2"/>
      <c r="AW461" s="7"/>
    </row>
    <row r="462" spans="1:49" x14ac:dyDescent="0.25">
      <c r="A462" s="1"/>
      <c r="B462" s="1"/>
      <c r="C462" s="1"/>
      <c r="D462" s="64"/>
      <c r="E462" s="1"/>
      <c r="G462" s="1"/>
      <c r="H462" s="1"/>
      <c r="K462" s="64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2" t="str">
        <f t="shared" si="322"/>
        <v>Werder Bremen</v>
      </c>
      <c r="W462" s="2">
        <f t="shared" si="321"/>
        <v>17</v>
      </c>
      <c r="Y462" s="19">
        <f>RANK(AI462,$AI$445:$AI$462,0)+COUNTIF($AI$444:AI461,AI462)</f>
        <v>17</v>
      </c>
      <c r="Z462" s="19" t="str">
        <f t="shared" si="323"/>
        <v>Werder Bremen</v>
      </c>
      <c r="AA462" s="19">
        <f>COUNTIFS(F4:F243,Z462,G4:G243,"&gt;=0")+COUNTIFS(I4:I243,Z462,H4:H243,"&gt;=0")</f>
        <v>22</v>
      </c>
      <c r="AB462" s="19">
        <f>COUNTIFS(F4:F243,Z462,B4:B243,3)+COUNTIFS(I4:I243,Z462,M4:M243,3)</f>
        <v>4</v>
      </c>
      <c r="AC462" s="19">
        <f>COUNTIFS(F4:F243,Z462,B4:B243,1)+COUNTIFS(I4:I243,Z462,M4:M243,1)</f>
        <v>5</v>
      </c>
      <c r="AD462" s="19">
        <f>COUNTIFS(F4:F243,Z462,B4:B243,0)+COUNTIFS(I4:I243,Z462,M4:M243,0)</f>
        <v>13</v>
      </c>
      <c r="AE462" s="19">
        <f>SUMIF(F4:F243,Z462,G4:G243)+SUMIF(I4:I243,Z462,H4:H243)</f>
        <v>25</v>
      </c>
      <c r="AF462" s="19">
        <f>SUMIF(F4:F243,Z462,H4:H243)+SUMIF(I4:I243,Z462,G4:G243)</f>
        <v>51</v>
      </c>
      <c r="AG462" s="19">
        <f t="shared" si="325"/>
        <v>-26</v>
      </c>
      <c r="AH462" s="19">
        <f t="shared" si="326"/>
        <v>17</v>
      </c>
      <c r="AI462" s="19">
        <f t="shared" si="324"/>
        <v>16999.765000000003</v>
      </c>
      <c r="AJ462" s="2"/>
      <c r="AW462" s="7"/>
    </row>
    <row r="463" spans="1:49" x14ac:dyDescent="0.25">
      <c r="A463" s="1"/>
      <c r="B463" s="1"/>
      <c r="C463" s="1"/>
      <c r="D463" s="64"/>
      <c r="E463" s="1"/>
      <c r="G463" s="1"/>
      <c r="H463" s="1"/>
      <c r="K463" s="64"/>
      <c r="L463" s="1"/>
      <c r="M463" s="1"/>
      <c r="N463" s="1"/>
      <c r="O463" s="1"/>
      <c r="P463" s="1"/>
      <c r="Q463" s="1"/>
      <c r="R463" s="1"/>
      <c r="S463" s="1"/>
      <c r="T463" s="1"/>
      <c r="U463" s="1"/>
      <c r="AJ463" s="2"/>
      <c r="AW463" s="7"/>
    </row>
    <row r="464" spans="1:49" x14ac:dyDescent="0.25">
      <c r="A464" s="1"/>
      <c r="B464" s="1"/>
      <c r="C464" s="1"/>
      <c r="D464" s="64"/>
      <c r="E464" s="1"/>
      <c r="G464" s="1"/>
      <c r="H464" s="1"/>
      <c r="K464" s="64"/>
      <c r="L464" s="1"/>
      <c r="M464" s="1"/>
      <c r="N464" s="1"/>
      <c r="O464" s="1"/>
      <c r="P464" s="1"/>
      <c r="Q464" s="1"/>
      <c r="R464" s="1"/>
      <c r="S464" s="1"/>
      <c r="T464" s="1"/>
      <c r="U464" s="1"/>
      <c r="W464" s="18">
        <v>23</v>
      </c>
      <c r="Y464" s="19"/>
      <c r="Z464" s="19" t="s">
        <v>1</v>
      </c>
      <c r="AA464" s="19" t="s">
        <v>2</v>
      </c>
      <c r="AB464" s="19" t="s">
        <v>3</v>
      </c>
      <c r="AC464" s="19" t="s">
        <v>4</v>
      </c>
      <c r="AD464" s="19" t="s">
        <v>5</v>
      </c>
      <c r="AE464" s="19" t="s">
        <v>6</v>
      </c>
      <c r="AF464" s="19" t="s">
        <v>7</v>
      </c>
      <c r="AG464" s="19" t="s">
        <v>8</v>
      </c>
      <c r="AH464" s="19" t="s">
        <v>9</v>
      </c>
      <c r="AI464" s="19" t="s">
        <v>0</v>
      </c>
      <c r="AJ464" s="2"/>
      <c r="AW464" s="7"/>
    </row>
    <row r="465" spans="1:49" x14ac:dyDescent="0.25">
      <c r="A465" s="1"/>
      <c r="B465" s="1"/>
      <c r="C465" s="1"/>
      <c r="D465" s="64"/>
      <c r="E465" s="1"/>
      <c r="G465" s="1"/>
      <c r="H465" s="1"/>
      <c r="K465" s="64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2" t="str">
        <f>CONCATENATE(Z465)</f>
        <v>1. FC Köln</v>
      </c>
      <c r="W465" s="2">
        <f t="shared" ref="W465:W482" si="327">Y465</f>
        <v>13</v>
      </c>
      <c r="Y465" s="19">
        <f>RANK(AI465,$AI$465:$AI$482,0)+COUNTIF($AI$464:AI464,AI465)</f>
        <v>13</v>
      </c>
      <c r="Z465" s="19" t="str">
        <f t="shared" ref="Z465:Z482" si="328">CONCATENATE(Z5)</f>
        <v>1. FC Köln</v>
      </c>
      <c r="AA465" s="19">
        <f>COUNTIFS(F4:F254,Z465,G4:G254,"&gt;=0")+COUNTIFS(I4:I254,Z465,H4:H254,"&gt;=0")</f>
        <v>22</v>
      </c>
      <c r="AB465" s="19">
        <f>COUNTIFS(F4:F254,Z465,B4:B254,3)+COUNTIFS(I4:I254,Z465,M4:M254,3)</f>
        <v>8</v>
      </c>
      <c r="AC465" s="19">
        <f>COUNTIFS(F4:F254,Z465,B4:B254,1)+COUNTIFS(I4:I254,Z465,M4:M254,1)</f>
        <v>2</v>
      </c>
      <c r="AD465" s="19">
        <f>COUNTIFS(F4:F254,Z465,B4:B254,0)+COUNTIFS(I4:I254,Z465,M4:M254,0)</f>
        <v>12</v>
      </c>
      <c r="AE465" s="19">
        <f>SUMIF(F4:F254,Z465,G4:G254)+SUMIF(I4:I254,Z465,H4:H254)</f>
        <v>33</v>
      </c>
      <c r="AF465" s="19">
        <f>SUMIF(F4:F254,Z465,H4:H254)+SUMIF(I4:I254,Z465,G4:G254)</f>
        <v>42</v>
      </c>
      <c r="AG465" s="19">
        <f>+AE465-AF465</f>
        <v>-9</v>
      </c>
      <c r="AH465" s="19">
        <f>(AB465*3)+AC465</f>
        <v>26</v>
      </c>
      <c r="AI465" s="19">
        <f>SUM(AH465*1000+(AG465)/100+(AE465)/1000)</f>
        <v>25999.942999999999</v>
      </c>
      <c r="AW465" s="7"/>
    </row>
    <row r="466" spans="1:49" x14ac:dyDescent="0.25">
      <c r="A466" s="1"/>
      <c r="B466" s="1"/>
      <c r="C466" s="1"/>
      <c r="D466" s="64"/>
      <c r="E466" s="1"/>
      <c r="G466" s="1"/>
      <c r="H466" s="1"/>
      <c r="K466" s="64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2" t="str">
        <f t="shared" ref="V466:V482" si="329">CONCATENATE(Z466)</f>
        <v>1. FC Union Berlin</v>
      </c>
      <c r="W466" s="2">
        <f t="shared" si="327"/>
        <v>10</v>
      </c>
      <c r="Y466" s="19">
        <f>RANK(AI466,$AI$465:$AI$482,0)+COUNTIF($AI$464:AI465,AI466)</f>
        <v>10</v>
      </c>
      <c r="Z466" s="19" t="str">
        <f t="shared" si="328"/>
        <v>1. FC Union Berlin</v>
      </c>
      <c r="AA466" s="19">
        <f>COUNTIFS(F4:F254,Z466,G4:G254,"&gt;=0")+COUNTIFS(I4:I254,Z466,H4:H254,"&gt;=0")</f>
        <v>23</v>
      </c>
      <c r="AB466" s="19">
        <f>COUNTIFS(F4:F254,Z466,B4:B254,3)+COUNTIFS(I4:I254,Z466,M4:M254,3)</f>
        <v>9</v>
      </c>
      <c r="AC466" s="19">
        <f>COUNTIFS(F4:F254,Z466,B4:B254,1)+COUNTIFS(I4:I254,Z466,M4:M254,1)</f>
        <v>2</v>
      </c>
      <c r="AD466" s="19">
        <f>COUNTIFS(F4:F254,Z466,B4:B254,0)+COUNTIFS(I4:I254,Z466,M4:M254,0)</f>
        <v>12</v>
      </c>
      <c r="AE466" s="19">
        <f>SUMIF(F4:F254,Z466,G4:G254)+SUMIF(I4:I254,Z466,H4:H254)</f>
        <v>29</v>
      </c>
      <c r="AF466" s="19">
        <f>SUMIF(F4:F254,Z466,H4:H254)+SUMIF(I4:I254,Z466,G4:G254)</f>
        <v>36</v>
      </c>
      <c r="AG466" s="19">
        <f>+AE466-AF466</f>
        <v>-7</v>
      </c>
      <c r="AH466" s="19">
        <f>(AB466*3)+AC466</f>
        <v>29</v>
      </c>
      <c r="AI466" s="19">
        <f t="shared" ref="AI466:AI482" si="330">SUM(AH466*1000+(AG466)/100+(AE466)/1000)</f>
        <v>28999.958999999999</v>
      </c>
      <c r="AJ466" s="2"/>
      <c r="AW466" s="7"/>
    </row>
    <row r="467" spans="1:49" x14ac:dyDescent="0.25">
      <c r="A467" s="1"/>
      <c r="B467" s="1"/>
      <c r="C467" s="1"/>
      <c r="D467" s="64"/>
      <c r="E467" s="1"/>
      <c r="G467" s="1"/>
      <c r="H467" s="1"/>
      <c r="K467" s="64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2" t="str">
        <f t="shared" si="329"/>
        <v>1. FSV Mainz 05</v>
      </c>
      <c r="W467" s="2">
        <f t="shared" si="327"/>
        <v>15</v>
      </c>
      <c r="Y467" s="19">
        <f>RANK(AI467,$AI$465:$AI$482,0)+COUNTIF($AI$464:AI466,AI467)</f>
        <v>15</v>
      </c>
      <c r="Z467" s="19" t="str">
        <f t="shared" si="328"/>
        <v>1. FSV Mainz 05</v>
      </c>
      <c r="AA467" s="19">
        <f>COUNTIFS(F4:F254,Z467,G4:G254,"&gt;=0")+COUNTIFS(I4:I254,Z467,H4:H254,"&gt;=0")</f>
        <v>23</v>
      </c>
      <c r="AB467" s="19">
        <f>COUNTIFS(F4:F254,Z467,B4:B254,3)+COUNTIFS(I4:I254,Z467,M4:M254,3)</f>
        <v>7</v>
      </c>
      <c r="AC467" s="19">
        <f>COUNTIFS(F4:F254,Z467,B4:B254,1)+COUNTIFS(I4:I254,Z467,M4:M254,1)</f>
        <v>1</v>
      </c>
      <c r="AD467" s="19">
        <f>COUNTIFS(F4:F254,Z467,B4:B254,0)+COUNTIFS(I4:I254,Z467,M4:M254,0)</f>
        <v>15</v>
      </c>
      <c r="AE467" s="19">
        <f>SUMIF(F4:F254,Z467,G4:G254)+SUMIF(I4:I254,Z467,H4:H254)</f>
        <v>31</v>
      </c>
      <c r="AF467" s="19">
        <f>SUMIF(F4:F254,Z467,H4:H254)+SUMIF(I4:I254,Z467,G4:G254)</f>
        <v>52</v>
      </c>
      <c r="AG467" s="19">
        <f>+AE467-AF467</f>
        <v>-21</v>
      </c>
      <c r="AH467" s="19">
        <f>(AB467*3)+AC467</f>
        <v>22</v>
      </c>
      <c r="AI467" s="19">
        <f t="shared" si="330"/>
        <v>21999.821</v>
      </c>
      <c r="AJ467" s="2"/>
      <c r="AW467" s="7"/>
    </row>
    <row r="468" spans="1:49" x14ac:dyDescent="0.25">
      <c r="A468" s="1"/>
      <c r="B468" s="1"/>
      <c r="C468" s="1"/>
      <c r="D468" s="64"/>
      <c r="E468" s="1"/>
      <c r="G468" s="1"/>
      <c r="H468" s="1"/>
      <c r="K468" s="64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2" t="str">
        <f t="shared" si="329"/>
        <v>1899 Hoffenheim</v>
      </c>
      <c r="W468" s="2">
        <f t="shared" si="327"/>
        <v>8</v>
      </c>
      <c r="Y468" s="19">
        <f>RANK(AI468,$AI$465:$AI$482,0)+COUNTIF($AI$464:AI467,AI468)</f>
        <v>8</v>
      </c>
      <c r="Z468" s="19" t="str">
        <f t="shared" si="328"/>
        <v>1899 Hoffenheim</v>
      </c>
      <c r="AA468" s="19">
        <f>COUNTIFS(F4:F254,Z468,G4:G254,"&gt;=0")+COUNTIFS(I4:I254,Z468,H4:H254,"&gt;=0")</f>
        <v>23</v>
      </c>
      <c r="AB468" s="19">
        <f>COUNTIFS(F4:F254,Z468,B4:B254,3)+COUNTIFS(I4:I254,Z468,M4:M254,3)</f>
        <v>10</v>
      </c>
      <c r="AC468" s="19">
        <f>COUNTIFS(F4:F254,Z468,B4:B254,1)+COUNTIFS(I4:I254,Z468,M4:M254,1)</f>
        <v>4</v>
      </c>
      <c r="AD468" s="19">
        <f>COUNTIFS(F4:F254,Z468,B4:B254,0)+COUNTIFS(I4:I254,Z468,M4:M254,0)</f>
        <v>9</v>
      </c>
      <c r="AE468" s="19">
        <f>SUMIF(F4:F254,Z468,G4:G254)+SUMIF(I4:I254,Z468,H4:H254)</f>
        <v>34</v>
      </c>
      <c r="AF468" s="19">
        <f>SUMIF(F4:F254,Z468,H4:H254)+SUMIF(I4:I254,Z468,G4:G254)</f>
        <v>36</v>
      </c>
      <c r="AG468" s="19">
        <f t="shared" ref="AG468:AG482" si="331">+AE468-AF468</f>
        <v>-2</v>
      </c>
      <c r="AH468" s="19">
        <f>(AB468*3)+AC468</f>
        <v>34</v>
      </c>
      <c r="AI468" s="19">
        <f t="shared" si="330"/>
        <v>34000.014000000003</v>
      </c>
      <c r="AJ468" s="2"/>
      <c r="AW468" s="7"/>
    </row>
    <row r="469" spans="1:49" x14ac:dyDescent="0.25">
      <c r="A469" s="1"/>
      <c r="B469" s="1"/>
      <c r="C469" s="1"/>
      <c r="D469" s="64"/>
      <c r="E469" s="1"/>
      <c r="G469" s="1"/>
      <c r="H469" s="1"/>
      <c r="K469" s="64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2" t="str">
        <f t="shared" si="329"/>
        <v>Bayer Leverkusen</v>
      </c>
      <c r="W469" s="2">
        <f t="shared" si="327"/>
        <v>5</v>
      </c>
      <c r="Y469" s="19">
        <f>RANK(AI469,$AI$465:$AI$482,0)+COUNTIF($AI$464:AI468,AI469)</f>
        <v>5</v>
      </c>
      <c r="Z469" s="19" t="str">
        <f t="shared" si="328"/>
        <v>Bayer Leverkusen</v>
      </c>
      <c r="AA469" s="19">
        <f>COUNTIFS(F4:F254,Z469,G4:G254,"&gt;=0")+COUNTIFS(I4:I254,Z469,H4:H254,"&gt;=0")</f>
        <v>23</v>
      </c>
      <c r="AB469" s="19">
        <f>COUNTIFS(F4:F254,Z469,B4:B254,3)+COUNTIFS(I4:I254,Z469,M4:M254,3)</f>
        <v>13</v>
      </c>
      <c r="AC469" s="19">
        <f>COUNTIFS(F4:F254,Z469,B4:B254,1)+COUNTIFS(I4:I254,Z469,M4:M254,1)</f>
        <v>4</v>
      </c>
      <c r="AD469" s="19">
        <f>COUNTIFS(F4:F254,Z469,B4:B254,0)+COUNTIFS(I4:I254,Z469,M4:M254,0)</f>
        <v>6</v>
      </c>
      <c r="AE469" s="19">
        <f>SUMIF(F4:F254,Z469,G4:G254)+SUMIF(I4:I254,Z469,H4:H254)</f>
        <v>40</v>
      </c>
      <c r="AF469" s="19">
        <f>SUMIF(F4:F254,Z469,H4:H254)+SUMIF(I4:I254,Z469,G4:G254)</f>
        <v>29</v>
      </c>
      <c r="AG469" s="19">
        <f t="shared" si="331"/>
        <v>11</v>
      </c>
      <c r="AH469" s="19">
        <f>(AB469*3)+AC469</f>
        <v>43</v>
      </c>
      <c r="AI469" s="19">
        <f t="shared" si="330"/>
        <v>43000.15</v>
      </c>
      <c r="AJ469" s="2"/>
      <c r="AW469" s="7"/>
    </row>
    <row r="470" spans="1:49" x14ac:dyDescent="0.25">
      <c r="A470" s="1"/>
      <c r="B470" s="1"/>
      <c r="C470" s="1"/>
      <c r="D470" s="64"/>
      <c r="E470" s="1"/>
      <c r="G470" s="1"/>
      <c r="H470" s="1"/>
      <c r="K470" s="64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2" t="str">
        <f t="shared" si="329"/>
        <v>Bayern München</v>
      </c>
      <c r="W470" s="2">
        <f t="shared" si="327"/>
        <v>1</v>
      </c>
      <c r="Y470" s="19">
        <f>RANK(AI470,$AI$465:$AI$482,0)+COUNTIF($AI$464:AI469,AI470)</f>
        <v>1</v>
      </c>
      <c r="Z470" s="19" t="str">
        <f t="shared" si="328"/>
        <v>Bayern München</v>
      </c>
      <c r="AA470" s="19">
        <f>COUNTIFS(F4:F254,Z470,G4:G254,"&gt;=0")+COUNTIFS(I4:I254,Z470,H4:H254,"&gt;=0")</f>
        <v>23</v>
      </c>
      <c r="AB470" s="19">
        <f>COUNTIFS(F4:F254,Z470,B4:B254,3)+COUNTIFS(I4:I254,Z470,M4:M254,3)</f>
        <v>15</v>
      </c>
      <c r="AC470" s="19">
        <f>COUNTIFS(F4:F254,Z470,B4:B254,1)+COUNTIFS(I4:I254,Z470,M4:M254,1)</f>
        <v>4</v>
      </c>
      <c r="AD470" s="19">
        <f>COUNTIFS(F4:F254,Z470,B4:B254,0)+COUNTIFS(I4:I254,Z470,M4:M254,0)</f>
        <v>4</v>
      </c>
      <c r="AE470" s="19">
        <f>SUMIF(F4:F254,Z470,G4:G254)+SUMIF(I4:I254,Z470,H4:H254)</f>
        <v>65</v>
      </c>
      <c r="AF470" s="19">
        <f>SUMIF(F4:F254,Z470,H4:H254)+SUMIF(I4:I254,Z470,G4:G254)</f>
        <v>26</v>
      </c>
      <c r="AG470" s="19">
        <f t="shared" si="331"/>
        <v>39</v>
      </c>
      <c r="AH470" s="19">
        <f t="shared" ref="AH470:AH482" si="332">(AB470*3)+AC470</f>
        <v>49</v>
      </c>
      <c r="AI470" s="19">
        <f t="shared" si="330"/>
        <v>49000.455000000002</v>
      </c>
      <c r="AJ470" s="2"/>
      <c r="AW470" s="7"/>
    </row>
    <row r="471" spans="1:49" x14ac:dyDescent="0.25">
      <c r="A471" s="1"/>
      <c r="B471" s="1"/>
      <c r="C471" s="1"/>
      <c r="D471" s="64"/>
      <c r="E471" s="1"/>
      <c r="G471" s="1"/>
      <c r="H471" s="1"/>
      <c r="K471" s="64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2" t="str">
        <f t="shared" si="329"/>
        <v>Bor. Mönchengladbach</v>
      </c>
      <c r="W471" s="2">
        <f t="shared" si="327"/>
        <v>4</v>
      </c>
      <c r="Y471" s="19">
        <f>RANK(AI471,$AI$465:$AI$482,0)+COUNTIF($AI$464:AI470,AI471)</f>
        <v>4</v>
      </c>
      <c r="Z471" s="19" t="str">
        <f t="shared" si="328"/>
        <v>Bor. Mönchengladbach</v>
      </c>
      <c r="AA471" s="19">
        <f>COUNTIFS(F4:F254,Z471,G4:G254,"&gt;=0")+COUNTIFS(I4:I254,Z471,H4:H254,"&gt;=0")</f>
        <v>22</v>
      </c>
      <c r="AB471" s="19">
        <f>COUNTIFS(F4:F254,Z471,B4:B254,3)+COUNTIFS(I4:I254,Z471,M4:M254,3)</f>
        <v>13</v>
      </c>
      <c r="AC471" s="19">
        <f>COUNTIFS(F4:F254,Z471,B4:B254,1)+COUNTIFS(I4:I254,Z471,M4:M254,1)</f>
        <v>4</v>
      </c>
      <c r="AD471" s="19">
        <f>COUNTIFS(F4:F254,Z471,B4:B254,0)+COUNTIFS(I4:I254,Z471,M4:M254,0)</f>
        <v>5</v>
      </c>
      <c r="AE471" s="19">
        <f>SUMIF(F4:F254,Z471,G4:G254)+SUMIF(I4:I254,Z471,H4:H254)</f>
        <v>43</v>
      </c>
      <c r="AF471" s="19">
        <f>SUMIF(F4:F254,Z471,H4:H254)+SUMIF(I4:I254,Z471,G4:G254)</f>
        <v>25</v>
      </c>
      <c r="AG471" s="19">
        <f t="shared" si="331"/>
        <v>18</v>
      </c>
      <c r="AH471" s="19">
        <f t="shared" si="332"/>
        <v>43</v>
      </c>
      <c r="AI471" s="19">
        <f t="shared" si="330"/>
        <v>43000.222999999998</v>
      </c>
      <c r="AJ471" s="2"/>
      <c r="AW471" s="7"/>
    </row>
    <row r="472" spans="1:49" x14ac:dyDescent="0.25">
      <c r="A472" s="1"/>
      <c r="B472" s="1"/>
      <c r="C472" s="1"/>
      <c r="D472" s="64"/>
      <c r="E472" s="1"/>
      <c r="G472" s="1"/>
      <c r="H472" s="1"/>
      <c r="K472" s="64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2" t="str">
        <f t="shared" si="329"/>
        <v>Borussia Dortmund</v>
      </c>
      <c r="W472" s="2">
        <f t="shared" si="327"/>
        <v>3</v>
      </c>
      <c r="Y472" s="19">
        <f>RANK(AI472,$AI$465:$AI$482,0)+COUNTIF($AI$464:AI471,AI472)</f>
        <v>3</v>
      </c>
      <c r="Z472" s="19" t="str">
        <f t="shared" si="328"/>
        <v>Borussia Dortmund</v>
      </c>
      <c r="AA472" s="19">
        <f>COUNTIFS(F4:F254,Z472,G4:G254,"&gt;=0")+COUNTIFS(I4:I254,Z472,H4:H254,"&gt;=0")</f>
        <v>23</v>
      </c>
      <c r="AB472" s="19">
        <f>COUNTIFS(F4:F254,Z472,B4:B254,3)+COUNTIFS(I4:I254,Z472,M4:M254,3)</f>
        <v>13</v>
      </c>
      <c r="AC472" s="19">
        <f>COUNTIFS(F4:F254,Z472,B4:B254,1)+COUNTIFS(I4:I254,Z472,M4:M254,1)</f>
        <v>6</v>
      </c>
      <c r="AD472" s="19">
        <f>COUNTIFS(F4:F254,Z472,B4:B254,0)+COUNTIFS(I4:I254,Z472,M4:M254,0)</f>
        <v>4</v>
      </c>
      <c r="AE472" s="19">
        <f>SUMIF(F4:F254,Z472,G4:G254)+SUMIF(I4:I254,Z472,H4:H254)</f>
        <v>65</v>
      </c>
      <c r="AF472" s="19">
        <f>SUMIF(F4:F254,Z472,H4:H254)+SUMIF(I4:I254,Z472,G4:G254)</f>
        <v>32</v>
      </c>
      <c r="AG472" s="19">
        <f t="shared" si="331"/>
        <v>33</v>
      </c>
      <c r="AH472" s="19">
        <f t="shared" si="332"/>
        <v>45</v>
      </c>
      <c r="AI472" s="19">
        <f t="shared" si="330"/>
        <v>45000.395000000004</v>
      </c>
      <c r="AJ472" s="2"/>
      <c r="AW472" s="7"/>
    </row>
    <row r="473" spans="1:49" x14ac:dyDescent="0.25">
      <c r="A473" s="1"/>
      <c r="B473" s="1"/>
      <c r="C473" s="1"/>
      <c r="D473" s="64"/>
      <c r="E473" s="1"/>
      <c r="G473" s="1"/>
      <c r="H473" s="1"/>
      <c r="K473" s="64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2" t="str">
        <f t="shared" si="329"/>
        <v>Eintracht Frankfurt</v>
      </c>
      <c r="W473" s="2">
        <f t="shared" si="327"/>
        <v>11</v>
      </c>
      <c r="Y473" s="19">
        <f>RANK(AI473,$AI$465:$AI$482,0)+COUNTIF($AI$464:AI472,AI473)</f>
        <v>11</v>
      </c>
      <c r="Z473" s="19" t="str">
        <f t="shared" si="328"/>
        <v>Eintracht Frankfurt</v>
      </c>
      <c r="AA473" s="19">
        <f>COUNTIFS(F4:F254,Z473,G4:G254,"&gt;=0")+COUNTIFS(I4:I254,Z473,H4:H254,"&gt;=0")</f>
        <v>23</v>
      </c>
      <c r="AB473" s="19">
        <f>COUNTIFS(F4:F254,Z473,B4:B254,3)+COUNTIFS(I4:I254,Z473,M4:M254,3)</f>
        <v>8</v>
      </c>
      <c r="AC473" s="19">
        <f>COUNTIFS(F4:F254,Z473,B4:B254,1)+COUNTIFS(I4:I254,Z473,M4:M254,1)</f>
        <v>4</v>
      </c>
      <c r="AD473" s="19">
        <f>COUNTIFS(F4:F254,Z473,B4:B254,0)+COUNTIFS(I4:I254,Z473,M4:M254,0)</f>
        <v>11</v>
      </c>
      <c r="AE473" s="19">
        <f>SUMIF(F4:F254,Z473,G4:G254)+SUMIF(I4:I254,Z473,H4:H254)</f>
        <v>38</v>
      </c>
      <c r="AF473" s="19">
        <f>SUMIF(F4:F254,Z473,H4:H254)+SUMIF(I4:I254,Z473,G4:G254)</f>
        <v>37</v>
      </c>
      <c r="AG473" s="19">
        <f t="shared" si="331"/>
        <v>1</v>
      </c>
      <c r="AH473" s="19">
        <f t="shared" si="332"/>
        <v>28</v>
      </c>
      <c r="AI473" s="19">
        <f t="shared" si="330"/>
        <v>28000.047999999999</v>
      </c>
      <c r="AJ473" s="2"/>
      <c r="AW473" s="7"/>
    </row>
    <row r="474" spans="1:49" x14ac:dyDescent="0.25">
      <c r="A474" s="1"/>
      <c r="B474" s="1"/>
      <c r="C474" s="1"/>
      <c r="D474" s="64"/>
      <c r="E474" s="1"/>
      <c r="G474" s="1"/>
      <c r="H474" s="1"/>
      <c r="K474" s="64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2" t="str">
        <f t="shared" si="329"/>
        <v>FC Augsburg</v>
      </c>
      <c r="W474" s="2">
        <f t="shared" si="327"/>
        <v>12</v>
      </c>
      <c r="Y474" s="19">
        <f>RANK(AI474,$AI$465:$AI$482,0)+COUNTIF($AI$464:AI473,AI474)</f>
        <v>12</v>
      </c>
      <c r="Z474" s="19" t="str">
        <f t="shared" si="328"/>
        <v>FC Augsburg</v>
      </c>
      <c r="AA474" s="19">
        <f>COUNTIFS(F4:F254,Z474,G4:G254,"&gt;=0")+COUNTIFS(I4:I254,Z474,H4:H254,"&gt;=0")</f>
        <v>23</v>
      </c>
      <c r="AB474" s="19">
        <f>COUNTIFS(F4:F254,Z474,B4:B254,3)+COUNTIFS(I4:I254,Z474,M4:M254,3)</f>
        <v>7</v>
      </c>
      <c r="AC474" s="19">
        <f>COUNTIFS(F4:F254,Z474,B4:B254,1)+COUNTIFS(I4:I254,Z474,M4:M254,1)</f>
        <v>6</v>
      </c>
      <c r="AD474" s="19">
        <f>COUNTIFS(F4:F254,Z474,B4:B254,0)+COUNTIFS(I4:I254,Z474,M4:M254,0)</f>
        <v>10</v>
      </c>
      <c r="AE474" s="19">
        <f>SUMIF(F4:F254,Z474,G4:G254)+SUMIF(I4:I254,Z474,H4:H254)</f>
        <v>34</v>
      </c>
      <c r="AF474" s="19">
        <f>SUMIF(F4:F254,Z474,H4:H254)+SUMIF(I4:I254,Z474,G4:G254)</f>
        <v>47</v>
      </c>
      <c r="AG474" s="19">
        <f t="shared" si="331"/>
        <v>-13</v>
      </c>
      <c r="AH474" s="19">
        <f t="shared" si="332"/>
        <v>27</v>
      </c>
      <c r="AI474" s="19">
        <f t="shared" si="330"/>
        <v>26999.903999999999</v>
      </c>
      <c r="AJ474" s="2"/>
      <c r="AW474" s="7"/>
    </row>
    <row r="475" spans="1:49" x14ac:dyDescent="0.25">
      <c r="A475" s="1"/>
      <c r="B475" s="1"/>
      <c r="C475" s="1"/>
      <c r="D475" s="64"/>
      <c r="E475" s="1"/>
      <c r="G475" s="1"/>
      <c r="H475" s="1"/>
      <c r="K475" s="64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2" t="str">
        <f t="shared" si="329"/>
        <v>FC Schalke 04</v>
      </c>
      <c r="W475" s="2">
        <f t="shared" si="327"/>
        <v>6</v>
      </c>
      <c r="Y475" s="19">
        <f>RANK(AI475,$AI$465:$AI$482,0)+COUNTIF($AI$464:AI474,AI475)</f>
        <v>6</v>
      </c>
      <c r="Z475" s="19" t="str">
        <f t="shared" si="328"/>
        <v>FC Schalke 04</v>
      </c>
      <c r="AA475" s="19">
        <f>COUNTIFS(F4:F254,Z475,G4:G254,"&gt;=0")+COUNTIFS(I4:I254,Z475,H4:H254,"&gt;=0")</f>
        <v>23</v>
      </c>
      <c r="AB475" s="19">
        <f>COUNTIFS(F4:F254,Z475,B4:B254,3)+COUNTIFS(I4:I254,Z475,M4:M254,3)</f>
        <v>9</v>
      </c>
      <c r="AC475" s="19">
        <f>COUNTIFS(F4:F254,Z475,B4:B254,1)+COUNTIFS(I4:I254,Z475,M4:M254,1)</f>
        <v>9</v>
      </c>
      <c r="AD475" s="19">
        <f>COUNTIFS(F4:F254,Z475,B4:B254,0)+COUNTIFS(I4:I254,Z475,M4:M254,0)</f>
        <v>5</v>
      </c>
      <c r="AE475" s="19">
        <f>SUMIF(F4:F254,Z475,G4:G254)+SUMIF(I4:I254,Z475,H4:H254)</f>
        <v>32</v>
      </c>
      <c r="AF475" s="19">
        <f>SUMIF(F4:F254,Z475,H4:H254)+SUMIF(I4:I254,Z475,G4:G254)</f>
        <v>32</v>
      </c>
      <c r="AG475" s="19">
        <f t="shared" si="331"/>
        <v>0</v>
      </c>
      <c r="AH475" s="19">
        <f t="shared" si="332"/>
        <v>36</v>
      </c>
      <c r="AI475" s="19">
        <f t="shared" si="330"/>
        <v>36000.031999999999</v>
      </c>
      <c r="AJ475" s="2"/>
      <c r="AW475" s="7"/>
    </row>
    <row r="476" spans="1:49" x14ac:dyDescent="0.25">
      <c r="A476" s="1"/>
      <c r="B476" s="1"/>
      <c r="C476" s="1"/>
      <c r="D476" s="64"/>
      <c r="E476" s="1"/>
      <c r="G476" s="1"/>
      <c r="H476" s="1"/>
      <c r="K476" s="64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2" t="str">
        <f t="shared" si="329"/>
        <v>Fortuna Düsseldorf</v>
      </c>
      <c r="W476" s="2">
        <f t="shared" si="327"/>
        <v>16</v>
      </c>
      <c r="Y476" s="19">
        <f>RANK(AI476,$AI$465:$AI$482,0)+COUNTIF($AI$464:AI475,AI476)</f>
        <v>16</v>
      </c>
      <c r="Z476" s="19" t="str">
        <f t="shared" si="328"/>
        <v>Fortuna Düsseldorf</v>
      </c>
      <c r="AA476" s="19">
        <f>COUNTIFS(F4:F254,Z476,G4:G254,"&gt;=0")+COUNTIFS(I4:I254,Z476,H4:H254,"&gt;=0")</f>
        <v>23</v>
      </c>
      <c r="AB476" s="19">
        <f>COUNTIFS(F4:F254,Z476,B4:B254,3)+COUNTIFS(I4:I254,Z476,M4:M254,3)</f>
        <v>5</v>
      </c>
      <c r="AC476" s="19">
        <f>COUNTIFS(F4:F254,Z476,B4:B254,1)+COUNTIFS(I4:I254,Z476,M4:M254,1)</f>
        <v>5</v>
      </c>
      <c r="AD476" s="19">
        <f>COUNTIFS(F4:F254,Z476,B4:B254,0)+COUNTIFS(I4:I254,Z476,M4:M254,0)</f>
        <v>13</v>
      </c>
      <c r="AE476" s="19">
        <f>SUMIF(F4:F254,Z476,G4:G254)+SUMIF(I4:I254,Z476,H4:H254)</f>
        <v>23</v>
      </c>
      <c r="AF476" s="19">
        <f>SUMIF(F4:F254,Z476,H4:H254)+SUMIF(I4:I254,Z476,G4:G254)</f>
        <v>46</v>
      </c>
      <c r="AG476" s="19">
        <f t="shared" si="331"/>
        <v>-23</v>
      </c>
      <c r="AH476" s="19">
        <f t="shared" si="332"/>
        <v>20</v>
      </c>
      <c r="AI476" s="19">
        <f t="shared" si="330"/>
        <v>19999.793000000001</v>
      </c>
      <c r="AJ476" s="2"/>
      <c r="AW476" s="7"/>
    </row>
    <row r="477" spans="1:49" x14ac:dyDescent="0.25">
      <c r="A477" s="1"/>
      <c r="B477" s="1"/>
      <c r="C477" s="1"/>
      <c r="D477" s="64"/>
      <c r="E477" s="1"/>
      <c r="G477" s="1"/>
      <c r="H477" s="1"/>
      <c r="K477" s="64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2" t="str">
        <f t="shared" si="329"/>
        <v>Hertha BSC</v>
      </c>
      <c r="W477" s="2">
        <f t="shared" si="327"/>
        <v>14</v>
      </c>
      <c r="Y477" s="19">
        <f>RANK(AI477,$AI$465:$AI$482,0)+COUNTIF($AI$464:AI476,AI477)</f>
        <v>14</v>
      </c>
      <c r="Z477" s="19" t="str">
        <f t="shared" si="328"/>
        <v>Hertha BSC</v>
      </c>
      <c r="AA477" s="19">
        <f>COUNTIFS(F4:F254,Z477,G4:G254,"&gt;=0")+COUNTIFS(I4:I254,Z477,H4:H254,"&gt;=0")</f>
        <v>23</v>
      </c>
      <c r="AB477" s="19">
        <f>COUNTIFS(F4:F254,Z477,B4:B254,3)+COUNTIFS(I4:I254,Z477,M4:M254,3)</f>
        <v>7</v>
      </c>
      <c r="AC477" s="19">
        <f>COUNTIFS(F4:F254,Z477,B4:B254,1)+COUNTIFS(I4:I254,Z477,M4:M254,1)</f>
        <v>5</v>
      </c>
      <c r="AD477" s="19">
        <f>COUNTIFS(F4:F254,Z477,B4:B254,0)+COUNTIFS(I4:I254,Z477,M4:M254,0)</f>
        <v>11</v>
      </c>
      <c r="AE477" s="19">
        <f>SUMIF(F4:F254,Z477,G4:G254)+SUMIF(I4:I254,Z477,H4:H254)</f>
        <v>27</v>
      </c>
      <c r="AF477" s="19">
        <f>SUMIF(F4:F254,Z477,H4:H254)+SUMIF(I4:I254,Z477,G4:G254)</f>
        <v>43</v>
      </c>
      <c r="AG477" s="19">
        <f t="shared" si="331"/>
        <v>-16</v>
      </c>
      <c r="AH477" s="19">
        <f t="shared" si="332"/>
        <v>26</v>
      </c>
      <c r="AI477" s="19">
        <f t="shared" si="330"/>
        <v>25999.866999999998</v>
      </c>
      <c r="AJ477" s="2"/>
      <c r="AW477" s="7"/>
    </row>
    <row r="478" spans="1:49" x14ac:dyDescent="0.25">
      <c r="A478" s="1"/>
      <c r="B478" s="1"/>
      <c r="C478" s="1"/>
      <c r="D478" s="64"/>
      <c r="E478" s="1"/>
      <c r="G478" s="1"/>
      <c r="H478" s="1"/>
      <c r="K478" s="64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2" t="str">
        <f t="shared" si="329"/>
        <v>RB Leipzig</v>
      </c>
      <c r="W478" s="2">
        <f t="shared" si="327"/>
        <v>2</v>
      </c>
      <c r="Y478" s="19">
        <f>RANK(AI478,$AI$465:$AI$482,0)+COUNTIF($AI$464:AI477,AI478)</f>
        <v>2</v>
      </c>
      <c r="Z478" s="19" t="str">
        <f t="shared" si="328"/>
        <v>RB Leipzig</v>
      </c>
      <c r="AA478" s="19">
        <f>COUNTIFS(F4:F254,Z478,G4:G254,"&gt;=0")+COUNTIFS(I4:I254,Z478,H4:H254,"&gt;=0")</f>
        <v>23</v>
      </c>
      <c r="AB478" s="19">
        <f>COUNTIFS(F4:F254,Z478,B4:B254,3)+COUNTIFS(I4:I254,Z478,M4:M254,3)</f>
        <v>14</v>
      </c>
      <c r="AC478" s="19">
        <f>COUNTIFS(F4:F254,Z478,B4:B254,1)+COUNTIFS(I4:I254,Z478,M4:M254,1)</f>
        <v>6</v>
      </c>
      <c r="AD478" s="19">
        <f>COUNTIFS(F4:F254,Z478,B4:B254,0)+COUNTIFS(I4:I254,Z478,M4:M254,0)</f>
        <v>3</v>
      </c>
      <c r="AE478" s="19">
        <f>SUMIF(F4:F254,Z478,G4:G254)+SUMIF(I4:I254,Z478,H4:H254)</f>
        <v>61</v>
      </c>
      <c r="AF478" s="19">
        <f>SUMIF(F4:F254,Z478,H4:H254)+SUMIF(I4:I254,Z478,G4:G254)</f>
        <v>25</v>
      </c>
      <c r="AG478" s="19">
        <f t="shared" si="331"/>
        <v>36</v>
      </c>
      <c r="AH478" s="19">
        <f t="shared" si="332"/>
        <v>48</v>
      </c>
      <c r="AI478" s="19">
        <f t="shared" si="330"/>
        <v>48000.421000000002</v>
      </c>
      <c r="AJ478" s="2"/>
      <c r="AW478" s="7"/>
    </row>
    <row r="479" spans="1:49" x14ac:dyDescent="0.25">
      <c r="A479" s="1"/>
      <c r="B479" s="1"/>
      <c r="C479" s="1"/>
      <c r="D479" s="64"/>
      <c r="E479" s="1"/>
      <c r="G479" s="1"/>
      <c r="H479" s="1"/>
      <c r="K479" s="64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2" t="str">
        <f t="shared" si="329"/>
        <v>SC Freiburg</v>
      </c>
      <c r="W479" s="2">
        <f t="shared" si="327"/>
        <v>9</v>
      </c>
      <c r="Y479" s="19">
        <f>RANK(AI479,$AI$465:$AI$482,0)+COUNTIF($AI$464:AI478,AI479)</f>
        <v>9</v>
      </c>
      <c r="Z479" s="19" t="str">
        <f t="shared" si="328"/>
        <v>SC Freiburg</v>
      </c>
      <c r="AA479" s="19">
        <f>COUNTIFS(F4:F254,Z479,G4:G254,"&gt;=0")+COUNTIFS(I4:I254,Z479,H4:H254,"&gt;=0")</f>
        <v>23</v>
      </c>
      <c r="AB479" s="19">
        <f>COUNTIFS(F4:F254,Z479,B4:B254,3)+COUNTIFS(I4:I254,Z479,M4:M254,3)</f>
        <v>9</v>
      </c>
      <c r="AC479" s="19">
        <f>COUNTIFS(F4:F254,Z479,B4:B254,1)+COUNTIFS(I4:I254,Z479,M4:M254,1)</f>
        <v>6</v>
      </c>
      <c r="AD479" s="19">
        <f>COUNTIFS(F4:F254,Z479,B4:B254,0)+COUNTIFS(I4:I254,Z479,M4:M254,0)</f>
        <v>8</v>
      </c>
      <c r="AE479" s="19">
        <f>SUMIF(F4:F254,Z479,G4:G254)+SUMIF(I4:I254,Z479,H4:H254)</f>
        <v>31</v>
      </c>
      <c r="AF479" s="19">
        <f>SUMIF(F4:F254,Z479,H4:H254)+SUMIF(I4:I254,Z479,G4:G254)</f>
        <v>33</v>
      </c>
      <c r="AG479" s="19">
        <f t="shared" si="331"/>
        <v>-2</v>
      </c>
      <c r="AH479" s="19">
        <f t="shared" si="332"/>
        <v>33</v>
      </c>
      <c r="AI479" s="19">
        <f t="shared" si="330"/>
        <v>33000.011000000006</v>
      </c>
      <c r="AJ479" s="2"/>
      <c r="AW479" s="7"/>
    </row>
    <row r="480" spans="1:49" x14ac:dyDescent="0.25">
      <c r="A480" s="1"/>
      <c r="B480" s="1"/>
      <c r="C480" s="1"/>
      <c r="D480" s="64"/>
      <c r="E480" s="1"/>
      <c r="G480" s="1"/>
      <c r="H480" s="1"/>
      <c r="K480" s="64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2" t="str">
        <f t="shared" si="329"/>
        <v>SC Paderborn 07</v>
      </c>
      <c r="W480" s="2">
        <f t="shared" si="327"/>
        <v>18</v>
      </c>
      <c r="Y480" s="19">
        <f>RANK(AI480,$AI$465:$AI$482,0)+COUNTIF($AI$464:AI479,AI480)</f>
        <v>18</v>
      </c>
      <c r="Z480" s="19" t="str">
        <f t="shared" si="328"/>
        <v>SC Paderborn 07</v>
      </c>
      <c r="AA480" s="19">
        <f>COUNTIFS(F4:F254,Z480,G4:G254,"&gt;=0")+COUNTIFS(I4:I254,Z480,H4:H254,"&gt;=0")</f>
        <v>23</v>
      </c>
      <c r="AB480" s="19">
        <f>COUNTIFS(F4:F254,Z480,B4:B254,3)+COUNTIFS(I4:I254,Z480,M4:M254,3)</f>
        <v>4</v>
      </c>
      <c r="AC480" s="19">
        <f>COUNTIFS(F4:F254,Z480,B4:B254,1)+COUNTIFS(I4:I254,Z480,M4:M254,1)</f>
        <v>4</v>
      </c>
      <c r="AD480" s="19">
        <f>COUNTIFS(F4:F254,Z480,B4:B254,0)+COUNTIFS(I4:I254,Z480,M4:M254,0)</f>
        <v>15</v>
      </c>
      <c r="AE480" s="19">
        <f>SUMIF(F4:F254,Z480,G4:G254)+SUMIF(I4:I254,Z480,H4:H254)</f>
        <v>29</v>
      </c>
      <c r="AF480" s="19">
        <f>SUMIF(F4:F254,Z480,H4:H254)+SUMIF(I4:I254,Z480,G4:G254)</f>
        <v>50</v>
      </c>
      <c r="AG480" s="19">
        <f t="shared" si="331"/>
        <v>-21</v>
      </c>
      <c r="AH480" s="19">
        <f t="shared" si="332"/>
        <v>16</v>
      </c>
      <c r="AI480" s="19">
        <f t="shared" si="330"/>
        <v>15999.819000000001</v>
      </c>
      <c r="AJ480" s="2"/>
      <c r="AW480" s="7"/>
    </row>
    <row r="481" spans="1:49" x14ac:dyDescent="0.25">
      <c r="A481" s="1"/>
      <c r="B481" s="1"/>
      <c r="C481" s="1"/>
      <c r="D481" s="64"/>
      <c r="E481" s="1"/>
      <c r="G481" s="1"/>
      <c r="H481" s="1"/>
      <c r="K481" s="64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2" t="str">
        <f t="shared" si="329"/>
        <v>VfL Wolfsburg</v>
      </c>
      <c r="W481" s="2">
        <f t="shared" si="327"/>
        <v>7</v>
      </c>
      <c r="Y481" s="19">
        <f>RANK(AI481,$AI$465:$AI$482,0)+COUNTIF($AI$464:AI480,AI481)</f>
        <v>7</v>
      </c>
      <c r="Z481" s="19" t="str">
        <f t="shared" si="328"/>
        <v>VfL Wolfsburg</v>
      </c>
      <c r="AA481" s="19">
        <f>COUNTIFS(F4:F254,Z481,G4:G254,"&gt;=0")+COUNTIFS(I4:I254,Z481,H4:H254,"&gt;=0")</f>
        <v>23</v>
      </c>
      <c r="AB481" s="19">
        <f>COUNTIFS(F4:F254,Z481,B4:B254,3)+COUNTIFS(I4:I254,Z481,M4:M254,3)</f>
        <v>9</v>
      </c>
      <c r="AC481" s="19">
        <f>COUNTIFS(F4:F254,Z481,B4:B254,1)+COUNTIFS(I4:I254,Z481,M4:M254,1)</f>
        <v>7</v>
      </c>
      <c r="AD481" s="19">
        <f>COUNTIFS(F4:F254,Z481,B4:B254,0)+COUNTIFS(I4:I254,Z481,M4:M254,0)</f>
        <v>7</v>
      </c>
      <c r="AE481" s="19">
        <f>SUMIF(F4:F254,Z481,G4:G254)+SUMIF(I4:I254,Z481,H4:H254)</f>
        <v>32</v>
      </c>
      <c r="AF481" s="19">
        <f>SUMIF(F4:F254,Z481,H4:H254)+SUMIF(I4:I254,Z481,G4:G254)</f>
        <v>28</v>
      </c>
      <c r="AG481" s="19">
        <f t="shared" si="331"/>
        <v>4</v>
      </c>
      <c r="AH481" s="19">
        <f t="shared" si="332"/>
        <v>34</v>
      </c>
      <c r="AI481" s="19">
        <f t="shared" si="330"/>
        <v>34000.072</v>
      </c>
      <c r="AJ481" s="2"/>
      <c r="AW481" s="7"/>
    </row>
    <row r="482" spans="1:49" x14ac:dyDescent="0.25">
      <c r="A482" s="1"/>
      <c r="B482" s="1"/>
      <c r="C482" s="1"/>
      <c r="D482" s="64"/>
      <c r="E482" s="1"/>
      <c r="G482" s="1"/>
      <c r="H482" s="1"/>
      <c r="K482" s="64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2" t="str">
        <f t="shared" si="329"/>
        <v>Werder Bremen</v>
      </c>
      <c r="W482" s="2">
        <f t="shared" si="327"/>
        <v>17</v>
      </c>
      <c r="Y482" s="19">
        <f>RANK(AI482,$AI$465:$AI$482,0)+COUNTIF($AI$464:AI481,AI482)</f>
        <v>17</v>
      </c>
      <c r="Z482" s="19" t="str">
        <f t="shared" si="328"/>
        <v>Werder Bremen</v>
      </c>
      <c r="AA482" s="19">
        <f>COUNTIFS(F4:F254,Z482,G4:G254,"&gt;=0")+COUNTIFS(I4:I254,Z482,H4:H254,"&gt;=0")</f>
        <v>23</v>
      </c>
      <c r="AB482" s="19">
        <f>COUNTIFS(F4:F254,Z482,B4:B254,3)+COUNTIFS(I4:I254,Z482,M4:M254,3)</f>
        <v>4</v>
      </c>
      <c r="AC482" s="19">
        <f>COUNTIFS(F4:F254,Z482,B4:B254,1)+COUNTIFS(I4:I254,Z482,M4:M254,1)</f>
        <v>5</v>
      </c>
      <c r="AD482" s="19">
        <f>COUNTIFS(F4:F254,Z482,B4:B254,0)+COUNTIFS(I4:I254,Z482,M4:M254,0)</f>
        <v>14</v>
      </c>
      <c r="AE482" s="19">
        <f>SUMIF(F4:F254,Z482,G4:G254)+SUMIF(I4:I254,Z482,H4:H254)</f>
        <v>25</v>
      </c>
      <c r="AF482" s="19">
        <f>SUMIF(F4:F254,Z482,H4:H254)+SUMIF(I4:I254,Z482,G4:G254)</f>
        <v>53</v>
      </c>
      <c r="AG482" s="19">
        <f t="shared" si="331"/>
        <v>-28</v>
      </c>
      <c r="AH482" s="19">
        <f t="shared" si="332"/>
        <v>17</v>
      </c>
      <c r="AI482" s="19">
        <f t="shared" si="330"/>
        <v>16999.745000000003</v>
      </c>
      <c r="AJ482" s="2"/>
      <c r="AW482" s="7"/>
    </row>
    <row r="483" spans="1:49" x14ac:dyDescent="0.25">
      <c r="A483" s="1"/>
      <c r="B483" s="1"/>
      <c r="C483" s="1"/>
      <c r="D483" s="64"/>
      <c r="E483" s="1"/>
      <c r="G483" s="1"/>
      <c r="H483" s="1"/>
      <c r="K483" s="64"/>
      <c r="L483" s="1"/>
      <c r="M483" s="1"/>
      <c r="N483" s="1"/>
      <c r="O483" s="1"/>
      <c r="P483" s="1"/>
      <c r="Q483" s="1"/>
      <c r="R483" s="1"/>
      <c r="S483" s="1"/>
      <c r="T483" s="1"/>
      <c r="U483" s="1"/>
      <c r="AJ483" s="2"/>
      <c r="AW483" s="7"/>
    </row>
    <row r="484" spans="1:49" x14ac:dyDescent="0.25">
      <c r="A484" s="1"/>
      <c r="B484" s="1"/>
      <c r="C484" s="1"/>
      <c r="D484" s="64"/>
      <c r="E484" s="1"/>
      <c r="G484" s="1"/>
      <c r="H484" s="1"/>
      <c r="K484" s="64"/>
      <c r="L484" s="1"/>
      <c r="M484" s="1"/>
      <c r="N484" s="1"/>
      <c r="O484" s="1"/>
      <c r="P484" s="1"/>
      <c r="Q484" s="1"/>
      <c r="R484" s="1"/>
      <c r="S484" s="1"/>
      <c r="T484" s="1"/>
      <c r="U484" s="1"/>
      <c r="W484" s="18">
        <v>24</v>
      </c>
      <c r="Y484" s="19"/>
      <c r="Z484" s="19" t="s">
        <v>1</v>
      </c>
      <c r="AA484" s="19" t="s">
        <v>2</v>
      </c>
      <c r="AB484" s="19" t="s">
        <v>3</v>
      </c>
      <c r="AC484" s="19" t="s">
        <v>4</v>
      </c>
      <c r="AD484" s="19" t="s">
        <v>5</v>
      </c>
      <c r="AE484" s="19" t="s">
        <v>6</v>
      </c>
      <c r="AF484" s="19" t="s">
        <v>7</v>
      </c>
      <c r="AG484" s="19" t="s">
        <v>8</v>
      </c>
      <c r="AH484" s="19" t="s">
        <v>9</v>
      </c>
      <c r="AI484" s="19" t="s">
        <v>0</v>
      </c>
      <c r="AJ484" s="2"/>
      <c r="AW484" s="7"/>
    </row>
    <row r="485" spans="1:49" x14ac:dyDescent="0.25">
      <c r="A485" s="1"/>
      <c r="B485" s="1"/>
      <c r="C485" s="1"/>
      <c r="D485" s="64"/>
      <c r="E485" s="1"/>
      <c r="G485" s="1"/>
      <c r="H485" s="1"/>
      <c r="K485" s="64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2" t="str">
        <f>CONCATENATE(Z485)</f>
        <v>1. FC Köln</v>
      </c>
      <c r="W485" s="2">
        <f t="shared" ref="W485:W502" si="333">Y485</f>
        <v>11</v>
      </c>
      <c r="Y485" s="19">
        <f>RANK(AI485,$AI$485:$AI$502,0)+COUNTIF($AI$484:AI484,AI485)</f>
        <v>11</v>
      </c>
      <c r="Z485" s="19" t="str">
        <f t="shared" ref="Z485:Z502" si="334">CONCATENATE(Z5)</f>
        <v>1. FC Köln</v>
      </c>
      <c r="AA485" s="19">
        <f>COUNTIFS(F4:F265,Z485,G4:G265,"&gt;=0")+COUNTIFS(I4:I265,Z485,H4:H265,"&gt;=0")</f>
        <v>23</v>
      </c>
      <c r="AB485" s="19">
        <f>COUNTIFS(F4:F265,Z485,B4:B265,3)+COUNTIFS(I4:I265,Z485,M4:M265,3)</f>
        <v>9</v>
      </c>
      <c r="AC485" s="19">
        <f>COUNTIFS(F4:F265,Z485,B4:B265,1)+COUNTIFS(I4:I265,Z485,M4:M265,1)</f>
        <v>2</v>
      </c>
      <c r="AD485" s="19">
        <f>COUNTIFS(F4:F265,Z485,B4:B265,0)+COUNTIFS(I4:I265,Z485,M4:M265,0)</f>
        <v>12</v>
      </c>
      <c r="AE485" s="19">
        <f>SUMIF(F4:F265,Z485,G4:G265)+SUMIF(I4:I265,Z485,H4:H265)</f>
        <v>36</v>
      </c>
      <c r="AF485" s="19">
        <f>SUMIF(F4:F265,Z485,H4:H265)+SUMIF(I4:I265,Z485,G4:G265)</f>
        <v>42</v>
      </c>
      <c r="AG485" s="19">
        <f>+AE485-AF485</f>
        <v>-6</v>
      </c>
      <c r="AH485" s="19">
        <f>(AB485*3)+AC485</f>
        <v>29</v>
      </c>
      <c r="AI485" s="19">
        <f>SUM(AH485*1000+(AG485)/100+(AE485)/1000)</f>
        <v>28999.975999999999</v>
      </c>
      <c r="AJ485" s="2"/>
      <c r="AW485" s="7"/>
    </row>
    <row r="486" spans="1:49" x14ac:dyDescent="0.25">
      <c r="A486" s="1"/>
      <c r="B486" s="1"/>
      <c r="C486" s="1"/>
      <c r="D486" s="64"/>
      <c r="E486" s="1"/>
      <c r="G486" s="1"/>
      <c r="H486" s="1"/>
      <c r="K486" s="64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2" t="str">
        <f t="shared" ref="V486:V502" si="335">CONCATENATE(Z486)</f>
        <v>1. FC Union Berlin</v>
      </c>
      <c r="W486" s="2">
        <f t="shared" si="333"/>
        <v>10</v>
      </c>
      <c r="Y486" s="19">
        <f>RANK(AI486,$AI$485:$AI$502,0)+COUNTIF($AI$484:AI485,AI486)</f>
        <v>10</v>
      </c>
      <c r="Z486" s="19" t="str">
        <f t="shared" si="334"/>
        <v>1. FC Union Berlin</v>
      </c>
      <c r="AA486" s="19">
        <f>COUNTIFS(F4:F265,Z486,G4:G265,"&gt;=0")+COUNTIFS(I4:I265,Z486,H4:H265,"&gt;=0")</f>
        <v>24</v>
      </c>
      <c r="AB486" s="19">
        <f>COUNTIFS(F4:F265,Z486,B4:B265,3)+COUNTIFS(I4:I265,Z486,M4:M265,3)</f>
        <v>9</v>
      </c>
      <c r="AC486" s="19">
        <f>COUNTIFS(F4:F265,Z486,B4:B265,1)+COUNTIFS(I4:I265,Z486,M4:M265,1)</f>
        <v>3</v>
      </c>
      <c r="AD486" s="19">
        <f>COUNTIFS(F4:F265,Z486,B4:B265,0)+COUNTIFS(I4:I265,Z486,M4:M265,0)</f>
        <v>12</v>
      </c>
      <c r="AE486" s="19">
        <f>SUMIF(F4:F265,Z486,G4:G265)+SUMIF(I4:I265,Z486,H4:H265)</f>
        <v>31</v>
      </c>
      <c r="AF486" s="19">
        <f>SUMIF(F4:F265,Z486,H4:H265)+SUMIF(I4:I265,Z486,G4:G265)</f>
        <v>38</v>
      </c>
      <c r="AG486" s="19">
        <f>+AE486-AF486</f>
        <v>-7</v>
      </c>
      <c r="AH486" s="19">
        <f>(AB486*3)+AC486</f>
        <v>30</v>
      </c>
      <c r="AI486" s="19">
        <f t="shared" ref="AI486:AI502" si="336">SUM(AH486*1000+(AG486)/100+(AE486)/1000)</f>
        <v>29999.960999999999</v>
      </c>
      <c r="AJ486" s="2"/>
      <c r="AW486" s="7"/>
    </row>
    <row r="487" spans="1:49" x14ac:dyDescent="0.25">
      <c r="A487" s="1"/>
      <c r="B487" s="1"/>
      <c r="C487" s="1"/>
      <c r="D487" s="64"/>
      <c r="E487" s="1"/>
      <c r="G487" s="1"/>
      <c r="H487" s="1"/>
      <c r="K487" s="64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2" t="str">
        <f t="shared" si="335"/>
        <v>1. FSV Mainz 05</v>
      </c>
      <c r="W487" s="2">
        <f t="shared" si="333"/>
        <v>15</v>
      </c>
      <c r="Y487" s="19">
        <f>RANK(AI487,$AI$485:$AI$502,0)+COUNTIF($AI$484:AI486,AI487)</f>
        <v>15</v>
      </c>
      <c r="Z487" s="19" t="str">
        <f t="shared" si="334"/>
        <v>1. FSV Mainz 05</v>
      </c>
      <c r="AA487" s="19">
        <f>COUNTIFS(F4:F265,Z487,G4:G265,"&gt;=0")+COUNTIFS(I4:I265,Z487,H4:H265,"&gt;=0")</f>
        <v>24</v>
      </c>
      <c r="AB487" s="19">
        <f>COUNTIFS(F4:F265,Z487,B4:B265,3)+COUNTIFS(I4:I265,Z487,M4:M265,3)</f>
        <v>8</v>
      </c>
      <c r="AC487" s="19">
        <f>COUNTIFS(F4:F265,Z487,B4:B265,1)+COUNTIFS(I4:I265,Z487,M4:M265,1)</f>
        <v>1</v>
      </c>
      <c r="AD487" s="19">
        <f>COUNTIFS(F4:F265,Z487,B4:B265,0)+COUNTIFS(I4:I265,Z487,M4:M265,0)</f>
        <v>15</v>
      </c>
      <c r="AE487" s="19">
        <f>SUMIF(F4:F265,Z487,G4:G265)+SUMIF(I4:I265,Z487,H4:H265)</f>
        <v>33</v>
      </c>
      <c r="AF487" s="19">
        <f>SUMIF(F4:F265,Z487,H4:H265)+SUMIF(I4:I265,Z487,G4:G265)</f>
        <v>52</v>
      </c>
      <c r="AG487" s="19">
        <f>+AE487-AF487</f>
        <v>-19</v>
      </c>
      <c r="AH487" s="19">
        <f>(AB487*3)+AC487</f>
        <v>25</v>
      </c>
      <c r="AI487" s="19">
        <f t="shared" si="336"/>
        <v>24999.843000000001</v>
      </c>
      <c r="AW487" s="7"/>
    </row>
    <row r="488" spans="1:49" x14ac:dyDescent="0.25">
      <c r="A488" s="1"/>
      <c r="B488" s="1"/>
      <c r="C488" s="1"/>
      <c r="D488" s="64"/>
      <c r="E488" s="1"/>
      <c r="G488" s="1"/>
      <c r="H488" s="1"/>
      <c r="K488" s="64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2" t="str">
        <f t="shared" si="335"/>
        <v>1899 Hoffenheim</v>
      </c>
      <c r="W488" s="2">
        <f t="shared" si="333"/>
        <v>8</v>
      </c>
      <c r="Y488" s="19">
        <f>RANK(AI488,$AI$485:$AI$502,0)+COUNTIF($AI$484:AI487,AI488)</f>
        <v>8</v>
      </c>
      <c r="Z488" s="19" t="str">
        <f t="shared" si="334"/>
        <v>1899 Hoffenheim</v>
      </c>
      <c r="AA488" s="19">
        <f>COUNTIFS(F4:F265,Z488,G4:G265,"&gt;=0")+COUNTIFS(I4:I265,Z488,H4:H265,"&gt;=0")</f>
        <v>24</v>
      </c>
      <c r="AB488" s="19">
        <f>COUNTIFS(F4:F265,Z488,B4:B265,3)+COUNTIFS(I4:I265,Z488,M4:M265,3)</f>
        <v>10</v>
      </c>
      <c r="AC488" s="19">
        <f>COUNTIFS(F4:F265,Z488,B4:B265,1)+COUNTIFS(I4:I265,Z488,M4:M265,1)</f>
        <v>4</v>
      </c>
      <c r="AD488" s="19">
        <f>COUNTIFS(F4:F265,Z488,B4:B265,0)+COUNTIFS(I4:I265,Z488,M4:M265,0)</f>
        <v>10</v>
      </c>
      <c r="AE488" s="19">
        <f>SUMIF(F4:F265,Z488,G4:G265)+SUMIF(I4:I265,Z488,H4:H265)</f>
        <v>34</v>
      </c>
      <c r="AF488" s="19">
        <f>SUMIF(F4:F265,Z488,H4:H265)+SUMIF(I4:I265,Z488,G4:G265)</f>
        <v>42</v>
      </c>
      <c r="AG488" s="19">
        <f t="shared" ref="AG488:AG502" si="337">+AE488-AF488</f>
        <v>-8</v>
      </c>
      <c r="AH488" s="19">
        <f>(AB488*3)+AC488</f>
        <v>34</v>
      </c>
      <c r="AI488" s="19">
        <f t="shared" si="336"/>
        <v>33999.953999999998</v>
      </c>
      <c r="AJ488" s="2"/>
      <c r="AW488" s="7"/>
    </row>
    <row r="489" spans="1:49" x14ac:dyDescent="0.25">
      <c r="A489" s="1"/>
      <c r="B489" s="1"/>
      <c r="C489" s="1"/>
      <c r="D489" s="64"/>
      <c r="E489" s="1"/>
      <c r="G489" s="1"/>
      <c r="H489" s="1"/>
      <c r="K489" s="64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2" t="str">
        <f t="shared" si="335"/>
        <v>Bayer Leverkusen</v>
      </c>
      <c r="W489" s="2">
        <f t="shared" si="333"/>
        <v>5</v>
      </c>
      <c r="Y489" s="19">
        <f>RANK(AI489,$AI$485:$AI$502,0)+COUNTIF($AI$484:AI488,AI489)</f>
        <v>5</v>
      </c>
      <c r="Z489" s="19" t="str">
        <f t="shared" si="334"/>
        <v>Bayer Leverkusen</v>
      </c>
      <c r="AA489" s="19">
        <f>COUNTIFS(F4:F265,Z489,G4:G265,"&gt;=0")+COUNTIFS(I4:I265,Z489,H4:H265,"&gt;=0")</f>
        <v>24</v>
      </c>
      <c r="AB489" s="19">
        <f>COUNTIFS(F4:F265,Z489,B4:B265,3)+COUNTIFS(I4:I265,Z489,M4:M265,3)</f>
        <v>13</v>
      </c>
      <c r="AC489" s="19">
        <f>COUNTIFS(F4:F265,Z489,B4:B265,1)+COUNTIFS(I4:I265,Z489,M4:M265,1)</f>
        <v>5</v>
      </c>
      <c r="AD489" s="19">
        <f>COUNTIFS(F4:F265,Z489,B4:B265,0)+COUNTIFS(I4:I265,Z489,M4:M265,0)</f>
        <v>6</v>
      </c>
      <c r="AE489" s="19">
        <f>SUMIF(F4:F265,Z489,G4:G265)+SUMIF(I4:I265,Z489,H4:H265)</f>
        <v>41</v>
      </c>
      <c r="AF489" s="19">
        <f>SUMIF(F4:F265,Z489,H4:H265)+SUMIF(I4:I265,Z489,G4:G265)</f>
        <v>30</v>
      </c>
      <c r="AG489" s="19">
        <f t="shared" si="337"/>
        <v>11</v>
      </c>
      <c r="AH489" s="19">
        <f>(AB489*3)+AC489</f>
        <v>44</v>
      </c>
      <c r="AI489" s="19">
        <f t="shared" si="336"/>
        <v>44000.150999999998</v>
      </c>
      <c r="AJ489" s="2"/>
      <c r="AW489" s="7"/>
    </row>
    <row r="490" spans="1:49" x14ac:dyDescent="0.25">
      <c r="A490" s="1"/>
      <c r="B490" s="1"/>
      <c r="C490" s="1"/>
      <c r="D490" s="64"/>
      <c r="E490" s="1"/>
      <c r="G490" s="1"/>
      <c r="H490" s="1"/>
      <c r="K490" s="64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2" t="str">
        <f t="shared" si="335"/>
        <v>Bayern München</v>
      </c>
      <c r="W490" s="2">
        <f t="shared" si="333"/>
        <v>1</v>
      </c>
      <c r="Y490" s="19">
        <f>RANK(AI490,$AI$485:$AI$502,0)+COUNTIF($AI$484:AI489,AI490)</f>
        <v>1</v>
      </c>
      <c r="Z490" s="19" t="str">
        <f t="shared" si="334"/>
        <v>Bayern München</v>
      </c>
      <c r="AA490" s="19">
        <f>COUNTIFS(F4:F265,Z490,G4:G265,"&gt;=0")+COUNTIFS(I4:I265,Z490,H4:H265,"&gt;=0")</f>
        <v>24</v>
      </c>
      <c r="AB490" s="19">
        <f>COUNTIFS(F4:F265,Z490,B4:B265,3)+COUNTIFS(I4:I265,Z490,M4:M265,3)</f>
        <v>16</v>
      </c>
      <c r="AC490" s="19">
        <f>COUNTIFS(F4:F265,Z490,B4:B265,1)+COUNTIFS(I4:I265,Z490,M4:M265,1)</f>
        <v>4</v>
      </c>
      <c r="AD490" s="19">
        <f>COUNTIFS(F4:F265,Z490,B4:B265,0)+COUNTIFS(I4:I265,Z490,M4:M265,0)</f>
        <v>4</v>
      </c>
      <c r="AE490" s="19">
        <f>SUMIF(F4:F265,Z490,G4:G265)+SUMIF(I4:I265,Z490,H4:H265)</f>
        <v>71</v>
      </c>
      <c r="AF490" s="19">
        <f>SUMIF(F4:F265,Z490,H4:H265)+SUMIF(I4:I265,Z490,G4:G265)</f>
        <v>26</v>
      </c>
      <c r="AG490" s="19">
        <f t="shared" si="337"/>
        <v>45</v>
      </c>
      <c r="AH490" s="19">
        <f t="shared" ref="AH490:AH502" si="338">(AB490*3)+AC490</f>
        <v>52</v>
      </c>
      <c r="AI490" s="19">
        <f t="shared" si="336"/>
        <v>52000.521000000001</v>
      </c>
      <c r="AJ490" s="2"/>
      <c r="AW490" s="7"/>
    </row>
    <row r="491" spans="1:49" x14ac:dyDescent="0.25">
      <c r="A491" s="1"/>
      <c r="B491" s="1"/>
      <c r="C491" s="1"/>
      <c r="D491" s="64"/>
      <c r="E491" s="1"/>
      <c r="G491" s="1"/>
      <c r="H491" s="1"/>
      <c r="K491" s="64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2" t="str">
        <f t="shared" si="335"/>
        <v>Bor. Mönchengladbach</v>
      </c>
      <c r="W491" s="2">
        <f t="shared" si="333"/>
        <v>4</v>
      </c>
      <c r="Y491" s="19">
        <f>RANK(AI491,$AI$485:$AI$502,0)+COUNTIF($AI$484:AI490,AI491)</f>
        <v>4</v>
      </c>
      <c r="Z491" s="19" t="str">
        <f t="shared" si="334"/>
        <v>Bor. Mönchengladbach</v>
      </c>
      <c r="AA491" s="19">
        <f>COUNTIFS(F4:F265,Z491,G4:G265,"&gt;=0")+COUNTIFS(I4:I265,Z491,H4:H265,"&gt;=0")</f>
        <v>23</v>
      </c>
      <c r="AB491" s="19">
        <f>COUNTIFS(F4:F265,Z491,B4:B265,3)+COUNTIFS(I4:I265,Z491,M4:M265,3)</f>
        <v>14</v>
      </c>
      <c r="AC491" s="19">
        <f>COUNTIFS(F4:F265,Z491,B4:B265,1)+COUNTIFS(I4:I265,Z491,M4:M265,1)</f>
        <v>4</v>
      </c>
      <c r="AD491" s="19">
        <f>COUNTIFS(F4:F265,Z491,B4:B265,0)+COUNTIFS(I4:I265,Z491,M4:M265,0)</f>
        <v>5</v>
      </c>
      <c r="AE491" s="19">
        <f>SUMIF(F4:F265,Z491,G4:G265)+SUMIF(I4:I265,Z491,H4:H265)</f>
        <v>46</v>
      </c>
      <c r="AF491" s="19">
        <f>SUMIF(F4:F265,Z491,H4:H265)+SUMIF(I4:I265,Z491,G4:G265)</f>
        <v>27</v>
      </c>
      <c r="AG491" s="19">
        <f t="shared" si="337"/>
        <v>19</v>
      </c>
      <c r="AH491" s="19">
        <f t="shared" si="338"/>
        <v>46</v>
      </c>
      <c r="AI491" s="19">
        <f t="shared" si="336"/>
        <v>46000.236000000004</v>
      </c>
      <c r="AJ491" s="2"/>
      <c r="AW491" s="7"/>
    </row>
    <row r="492" spans="1:49" x14ac:dyDescent="0.25">
      <c r="A492" s="1"/>
      <c r="B492" s="1"/>
      <c r="C492" s="1"/>
      <c r="D492" s="64"/>
      <c r="E492" s="1"/>
      <c r="G492" s="1"/>
      <c r="H492" s="1"/>
      <c r="K492" s="64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2" t="str">
        <f t="shared" si="335"/>
        <v>Borussia Dortmund</v>
      </c>
      <c r="W492" s="2">
        <f t="shared" si="333"/>
        <v>3</v>
      </c>
      <c r="Y492" s="19">
        <f>RANK(AI492,$AI$485:$AI$502,0)+COUNTIF($AI$484:AI491,AI492)</f>
        <v>3</v>
      </c>
      <c r="Z492" s="19" t="str">
        <f t="shared" si="334"/>
        <v>Borussia Dortmund</v>
      </c>
      <c r="AA492" s="19">
        <f>COUNTIFS(F4:F265,Z492,G4:G265,"&gt;=0")+COUNTIFS(I4:I265,Z492,H4:H265,"&gt;=0")</f>
        <v>24</v>
      </c>
      <c r="AB492" s="19">
        <f>COUNTIFS(F4:F265,Z492,B4:B265,3)+COUNTIFS(I4:I265,Z492,M4:M265,3)</f>
        <v>14</v>
      </c>
      <c r="AC492" s="19">
        <f>COUNTIFS(F4:F265,Z492,B4:B265,1)+COUNTIFS(I4:I265,Z492,M4:M265,1)</f>
        <v>6</v>
      </c>
      <c r="AD492" s="19">
        <f>COUNTIFS(F4:F265,Z492,B4:B265,0)+COUNTIFS(I4:I265,Z492,M4:M265,0)</f>
        <v>4</v>
      </c>
      <c r="AE492" s="19">
        <f>SUMIF(F4:F265,Z492,G4:G265)+SUMIF(I4:I265,Z492,H4:H265)</f>
        <v>66</v>
      </c>
      <c r="AF492" s="19">
        <f>SUMIF(F4:F265,Z492,H4:H265)+SUMIF(I4:I265,Z492,G4:G265)</f>
        <v>32</v>
      </c>
      <c r="AG492" s="19">
        <f t="shared" si="337"/>
        <v>34</v>
      </c>
      <c r="AH492" s="19">
        <f t="shared" si="338"/>
        <v>48</v>
      </c>
      <c r="AI492" s="19">
        <f t="shared" si="336"/>
        <v>48000.405999999995</v>
      </c>
      <c r="AJ492" s="2"/>
      <c r="AW492" s="7"/>
    </row>
    <row r="493" spans="1:49" x14ac:dyDescent="0.25">
      <c r="A493" s="1"/>
      <c r="B493" s="1"/>
      <c r="C493" s="1"/>
      <c r="D493" s="64"/>
      <c r="E493" s="1"/>
      <c r="G493" s="1"/>
      <c r="H493" s="1"/>
      <c r="K493" s="64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2" t="str">
        <f t="shared" si="335"/>
        <v>Eintracht Frankfurt</v>
      </c>
      <c r="W493" s="2">
        <f t="shared" si="333"/>
        <v>12</v>
      </c>
      <c r="Y493" s="19">
        <f>RANK(AI493,$AI$485:$AI$502,0)+COUNTIF($AI$484:AI492,AI493)</f>
        <v>12</v>
      </c>
      <c r="Z493" s="19" t="str">
        <f t="shared" si="334"/>
        <v>Eintracht Frankfurt</v>
      </c>
      <c r="AA493" s="19">
        <f>COUNTIFS(F4:F265,Z493,G4:G265,"&gt;=0")+COUNTIFS(I4:I265,Z493,H4:H265,"&gt;=0")</f>
        <v>23</v>
      </c>
      <c r="AB493" s="19">
        <f>COUNTIFS(F4:F265,Z493,B4:B265,3)+COUNTIFS(I4:I265,Z493,M4:M265,3)</f>
        <v>8</v>
      </c>
      <c r="AC493" s="19">
        <f>COUNTIFS(F4:F265,Z493,B4:B265,1)+COUNTIFS(I4:I265,Z493,M4:M265,1)</f>
        <v>4</v>
      </c>
      <c r="AD493" s="19">
        <f>COUNTIFS(F4:F265,Z493,B4:B265,0)+COUNTIFS(I4:I265,Z493,M4:M265,0)</f>
        <v>11</v>
      </c>
      <c r="AE493" s="19">
        <f>SUMIF(F4:F265,Z493,G4:G265)+SUMIF(I4:I265,Z493,H4:H265)</f>
        <v>38</v>
      </c>
      <c r="AF493" s="19">
        <f>SUMIF(F4:F265,Z493,H4:H265)+SUMIF(I4:I265,Z493,G4:G265)</f>
        <v>37</v>
      </c>
      <c r="AG493" s="19">
        <f t="shared" si="337"/>
        <v>1</v>
      </c>
      <c r="AH493" s="19">
        <f t="shared" si="338"/>
        <v>28</v>
      </c>
      <c r="AI493" s="19">
        <f t="shared" si="336"/>
        <v>28000.047999999999</v>
      </c>
      <c r="AJ493" s="2"/>
      <c r="AW493" s="7"/>
    </row>
    <row r="494" spans="1:49" x14ac:dyDescent="0.25">
      <c r="A494" s="1"/>
      <c r="B494" s="1"/>
      <c r="C494" s="1"/>
      <c r="D494" s="64"/>
      <c r="E494" s="1"/>
      <c r="G494" s="1"/>
      <c r="H494" s="1"/>
      <c r="K494" s="64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2" t="str">
        <f t="shared" si="335"/>
        <v>FC Augsburg</v>
      </c>
      <c r="W494" s="2">
        <f t="shared" si="333"/>
        <v>13</v>
      </c>
      <c r="Y494" s="19">
        <f>RANK(AI494,$AI$485:$AI$502,0)+COUNTIF($AI$484:AI493,AI494)</f>
        <v>13</v>
      </c>
      <c r="Z494" s="19" t="str">
        <f t="shared" si="334"/>
        <v>FC Augsburg</v>
      </c>
      <c r="AA494" s="19">
        <f>COUNTIFS(F4:F265,Z494,G4:G265,"&gt;=0")+COUNTIFS(I4:I265,Z494,H4:H265,"&gt;=0")</f>
        <v>24</v>
      </c>
      <c r="AB494" s="19">
        <f>COUNTIFS(F4:F265,Z494,B4:B265,3)+COUNTIFS(I4:I265,Z494,M4:M265,3)</f>
        <v>7</v>
      </c>
      <c r="AC494" s="19">
        <f>COUNTIFS(F4:F265,Z494,B4:B265,1)+COUNTIFS(I4:I265,Z494,M4:M265,1)</f>
        <v>6</v>
      </c>
      <c r="AD494" s="19">
        <f>COUNTIFS(F4:F265,Z494,B4:B265,0)+COUNTIFS(I4:I265,Z494,M4:M265,0)</f>
        <v>11</v>
      </c>
      <c r="AE494" s="19">
        <f>SUMIF(F4:F265,Z494,G4:G265)+SUMIF(I4:I265,Z494,H4:H265)</f>
        <v>36</v>
      </c>
      <c r="AF494" s="19">
        <f>SUMIF(F4:F265,Z494,H4:H265)+SUMIF(I4:I265,Z494,G4:G265)</f>
        <v>50</v>
      </c>
      <c r="AG494" s="19">
        <f t="shared" si="337"/>
        <v>-14</v>
      </c>
      <c r="AH494" s="19">
        <f t="shared" si="338"/>
        <v>27</v>
      </c>
      <c r="AI494" s="19">
        <f t="shared" si="336"/>
        <v>26999.896000000001</v>
      </c>
      <c r="AJ494" s="2"/>
      <c r="AW494" s="7"/>
    </row>
    <row r="495" spans="1:49" x14ac:dyDescent="0.25">
      <c r="A495" s="1"/>
      <c r="B495" s="1"/>
      <c r="C495" s="1"/>
      <c r="D495" s="64"/>
      <c r="E495" s="1"/>
      <c r="G495" s="1"/>
      <c r="H495" s="1"/>
      <c r="K495" s="64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2" t="str">
        <f t="shared" si="335"/>
        <v>FC Schalke 04</v>
      </c>
      <c r="W495" s="2">
        <f t="shared" si="333"/>
        <v>6</v>
      </c>
      <c r="Y495" s="19">
        <f>RANK(AI495,$AI$485:$AI$502,0)+COUNTIF($AI$484:AI494,AI495)</f>
        <v>6</v>
      </c>
      <c r="Z495" s="19" t="str">
        <f t="shared" si="334"/>
        <v>FC Schalke 04</v>
      </c>
      <c r="AA495" s="19">
        <f>COUNTIFS(F4:F265,Z495,G4:G265,"&gt;=0")+COUNTIFS(I4:I265,Z495,H4:H265,"&gt;=0")</f>
        <v>24</v>
      </c>
      <c r="AB495" s="19">
        <f>COUNTIFS(F4:F265,Z495,B4:B265,3)+COUNTIFS(I4:I265,Z495,M4:M265,3)</f>
        <v>9</v>
      </c>
      <c r="AC495" s="19">
        <f>COUNTIFS(F4:F265,Z495,B4:B265,1)+COUNTIFS(I4:I265,Z495,M4:M265,1)</f>
        <v>9</v>
      </c>
      <c r="AD495" s="19">
        <f>COUNTIFS(F4:F265,Z495,B4:B265,0)+COUNTIFS(I4:I265,Z495,M4:M265,0)</f>
        <v>6</v>
      </c>
      <c r="AE495" s="19">
        <f>SUMIF(F4:F265,Z495,G4:G265)+SUMIF(I4:I265,Z495,H4:H265)</f>
        <v>32</v>
      </c>
      <c r="AF495" s="19">
        <f>SUMIF(F4:F265,Z495,H4:H265)+SUMIF(I4:I265,Z495,G4:G265)</f>
        <v>35</v>
      </c>
      <c r="AG495" s="19">
        <f t="shared" si="337"/>
        <v>-3</v>
      </c>
      <c r="AH495" s="19">
        <f t="shared" si="338"/>
        <v>36</v>
      </c>
      <c r="AI495" s="19">
        <f t="shared" si="336"/>
        <v>36000.002</v>
      </c>
      <c r="AJ495" s="2"/>
      <c r="AW495" s="7"/>
    </row>
    <row r="496" spans="1:49" x14ac:dyDescent="0.25">
      <c r="A496" s="1"/>
      <c r="B496" s="1"/>
      <c r="C496" s="1"/>
      <c r="D496" s="64"/>
      <c r="E496" s="1"/>
      <c r="G496" s="1"/>
      <c r="H496" s="1"/>
      <c r="K496" s="64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2" t="str">
        <f t="shared" si="335"/>
        <v>Fortuna Düsseldorf</v>
      </c>
      <c r="W496" s="2">
        <f t="shared" si="333"/>
        <v>16</v>
      </c>
      <c r="Y496" s="19">
        <f>RANK(AI496,$AI$485:$AI$502,0)+COUNTIF($AI$484:AI495,AI496)</f>
        <v>16</v>
      </c>
      <c r="Z496" s="19" t="str">
        <f t="shared" si="334"/>
        <v>Fortuna Düsseldorf</v>
      </c>
      <c r="AA496" s="19">
        <f>COUNTIFS(F4:F265,Z496,G4:G265,"&gt;=0")+COUNTIFS(I4:I265,Z496,H4:H265,"&gt;=0")</f>
        <v>24</v>
      </c>
      <c r="AB496" s="19">
        <f>COUNTIFS(F4:F265,Z496,B4:B265,3)+COUNTIFS(I4:I265,Z496,M4:M265,3)</f>
        <v>5</v>
      </c>
      <c r="AC496" s="19">
        <f>COUNTIFS(F4:F265,Z496,B4:B265,1)+COUNTIFS(I4:I265,Z496,M4:M265,1)</f>
        <v>6</v>
      </c>
      <c r="AD496" s="19">
        <f>COUNTIFS(F4:F265,Z496,B4:B265,0)+COUNTIFS(I4:I265,Z496,M4:M265,0)</f>
        <v>13</v>
      </c>
      <c r="AE496" s="19">
        <f>SUMIF(F4:F265,Z496,G4:G265)+SUMIF(I4:I265,Z496,H4:H265)</f>
        <v>26</v>
      </c>
      <c r="AF496" s="19">
        <f>SUMIF(F4:F265,Z496,H4:H265)+SUMIF(I4:I265,Z496,G4:G265)</f>
        <v>49</v>
      </c>
      <c r="AG496" s="19">
        <f t="shared" si="337"/>
        <v>-23</v>
      </c>
      <c r="AH496" s="19">
        <f t="shared" si="338"/>
        <v>21</v>
      </c>
      <c r="AI496" s="19">
        <f t="shared" si="336"/>
        <v>20999.796000000002</v>
      </c>
      <c r="AJ496" s="2"/>
      <c r="AW496" s="7"/>
    </row>
    <row r="497" spans="1:49" x14ac:dyDescent="0.25">
      <c r="A497" s="1"/>
      <c r="B497" s="1"/>
      <c r="C497" s="1"/>
      <c r="D497" s="64"/>
      <c r="E497" s="1"/>
      <c r="G497" s="1"/>
      <c r="H497" s="1"/>
      <c r="K497" s="64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2" t="str">
        <f t="shared" si="335"/>
        <v>Hertha BSC</v>
      </c>
      <c r="W497" s="2">
        <f t="shared" si="333"/>
        <v>14</v>
      </c>
      <c r="Y497" s="19">
        <f>RANK(AI497,$AI$485:$AI$502,0)+COUNTIF($AI$484:AI496,AI497)</f>
        <v>14</v>
      </c>
      <c r="Z497" s="19" t="str">
        <f t="shared" si="334"/>
        <v>Hertha BSC</v>
      </c>
      <c r="AA497" s="19">
        <f>COUNTIFS(F4:F265,Z497,G4:G265,"&gt;=0")+COUNTIFS(I4:I265,Z497,H4:H265,"&gt;=0")</f>
        <v>24</v>
      </c>
      <c r="AB497" s="19">
        <f>COUNTIFS(F4:F265,Z497,B4:B265,3)+COUNTIFS(I4:I265,Z497,M4:M265,3)</f>
        <v>7</v>
      </c>
      <c r="AC497" s="19">
        <f>COUNTIFS(F4:F265,Z497,B4:B265,1)+COUNTIFS(I4:I265,Z497,M4:M265,1)</f>
        <v>6</v>
      </c>
      <c r="AD497" s="19">
        <f>COUNTIFS(F4:F265,Z497,B4:B265,0)+COUNTIFS(I4:I265,Z497,M4:M265,0)</f>
        <v>11</v>
      </c>
      <c r="AE497" s="19">
        <f>SUMIF(F4:F265,Z497,G4:G265)+SUMIF(I4:I265,Z497,H4:H265)</f>
        <v>30</v>
      </c>
      <c r="AF497" s="19">
        <f>SUMIF(F4:F265,Z497,H4:H265)+SUMIF(I4:I265,Z497,G4:G265)</f>
        <v>46</v>
      </c>
      <c r="AG497" s="19">
        <f t="shared" si="337"/>
        <v>-16</v>
      </c>
      <c r="AH497" s="19">
        <f t="shared" si="338"/>
        <v>27</v>
      </c>
      <c r="AI497" s="19">
        <f t="shared" si="336"/>
        <v>26999.87</v>
      </c>
      <c r="AJ497" s="2"/>
      <c r="AW497" s="7"/>
    </row>
    <row r="498" spans="1:49" x14ac:dyDescent="0.25">
      <c r="A498" s="1"/>
      <c r="B498" s="1"/>
      <c r="C498" s="1"/>
      <c r="D498" s="64"/>
      <c r="E498" s="1"/>
      <c r="G498" s="1"/>
      <c r="H498" s="1"/>
      <c r="K498" s="64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2" t="str">
        <f t="shared" si="335"/>
        <v>RB Leipzig</v>
      </c>
      <c r="W498" s="2">
        <f t="shared" si="333"/>
        <v>2</v>
      </c>
      <c r="Y498" s="19">
        <f>RANK(AI498,$AI$485:$AI$502,0)+COUNTIF($AI$484:AI497,AI498)</f>
        <v>2</v>
      </c>
      <c r="Z498" s="19" t="str">
        <f t="shared" si="334"/>
        <v>RB Leipzig</v>
      </c>
      <c r="AA498" s="19">
        <f>COUNTIFS(F4:F265,Z498,G4:G265,"&gt;=0")+COUNTIFS(I4:I265,Z498,H4:H265,"&gt;=0")</f>
        <v>24</v>
      </c>
      <c r="AB498" s="19">
        <f>COUNTIFS(F4:F265,Z498,B4:B265,3)+COUNTIFS(I4:I265,Z498,M4:M265,3)</f>
        <v>14</v>
      </c>
      <c r="AC498" s="19">
        <f>COUNTIFS(F4:F265,Z498,B4:B265,1)+COUNTIFS(I4:I265,Z498,M4:M265,1)</f>
        <v>7</v>
      </c>
      <c r="AD498" s="19">
        <f>COUNTIFS(F4:F265,Z498,B4:B265,0)+COUNTIFS(I4:I265,Z498,M4:M265,0)</f>
        <v>3</v>
      </c>
      <c r="AE498" s="19">
        <f>SUMIF(F4:F265,Z498,G4:G265)+SUMIF(I4:I265,Z498,H4:H265)</f>
        <v>62</v>
      </c>
      <c r="AF498" s="19">
        <f>SUMIF(F4:F265,Z498,H4:H265)+SUMIF(I4:I265,Z498,G4:G265)</f>
        <v>26</v>
      </c>
      <c r="AG498" s="19">
        <f t="shared" si="337"/>
        <v>36</v>
      </c>
      <c r="AH498" s="19">
        <f t="shared" si="338"/>
        <v>49</v>
      </c>
      <c r="AI498" s="19">
        <f t="shared" si="336"/>
        <v>49000.421999999999</v>
      </c>
      <c r="AJ498" s="2"/>
      <c r="AW498" s="7"/>
    </row>
    <row r="499" spans="1:49" x14ac:dyDescent="0.25">
      <c r="A499" s="1"/>
      <c r="B499" s="1"/>
      <c r="C499" s="1"/>
      <c r="D499" s="64"/>
      <c r="E499" s="1"/>
      <c r="G499" s="1"/>
      <c r="H499" s="1"/>
      <c r="K499" s="64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2" t="str">
        <f t="shared" si="335"/>
        <v>SC Freiburg</v>
      </c>
      <c r="W499" s="2">
        <f t="shared" si="333"/>
        <v>9</v>
      </c>
      <c r="Y499" s="19">
        <f>RANK(AI499,$AI$485:$AI$502,0)+COUNTIF($AI$484:AI498,AI499)</f>
        <v>9</v>
      </c>
      <c r="Z499" s="19" t="str">
        <f t="shared" si="334"/>
        <v>SC Freiburg</v>
      </c>
      <c r="AA499" s="19">
        <f>COUNTIFS(F4:F265,Z499,G4:G265,"&gt;=0")+COUNTIFS(I4:I265,Z499,H4:H265,"&gt;=0")</f>
        <v>24</v>
      </c>
      <c r="AB499" s="19">
        <f>COUNTIFS(F4:F265,Z499,B4:B265,3)+COUNTIFS(I4:I265,Z499,M4:M265,3)</f>
        <v>9</v>
      </c>
      <c r="AC499" s="19">
        <f>COUNTIFS(F4:F265,Z499,B4:B265,1)+COUNTIFS(I4:I265,Z499,M4:M265,1)</f>
        <v>6</v>
      </c>
      <c r="AD499" s="19">
        <f>COUNTIFS(F4:F265,Z499,B4:B265,0)+COUNTIFS(I4:I265,Z499,M4:M265,0)</f>
        <v>9</v>
      </c>
      <c r="AE499" s="19">
        <f>SUMIF(F4:F265,Z499,G4:G265)+SUMIF(I4:I265,Z499,H4:H265)</f>
        <v>31</v>
      </c>
      <c r="AF499" s="19">
        <f>SUMIF(F4:F265,Z499,H4:H265)+SUMIF(I4:I265,Z499,G4:G265)</f>
        <v>34</v>
      </c>
      <c r="AG499" s="19">
        <f t="shared" si="337"/>
        <v>-3</v>
      </c>
      <c r="AH499" s="19">
        <f t="shared" si="338"/>
        <v>33</v>
      </c>
      <c r="AI499" s="19">
        <f t="shared" si="336"/>
        <v>33000.001000000004</v>
      </c>
      <c r="AJ499" s="2"/>
      <c r="AW499" s="7"/>
    </row>
    <row r="500" spans="1:49" x14ac:dyDescent="0.25">
      <c r="A500" s="1"/>
      <c r="B500" s="1"/>
      <c r="C500" s="1"/>
      <c r="D500" s="64"/>
      <c r="E500" s="1"/>
      <c r="G500" s="1"/>
      <c r="H500" s="1"/>
      <c r="K500" s="64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2" t="str">
        <f t="shared" si="335"/>
        <v>SC Paderborn 07</v>
      </c>
      <c r="W500" s="2">
        <f t="shared" si="333"/>
        <v>18</v>
      </c>
      <c r="Y500" s="19">
        <f>RANK(AI500,$AI$485:$AI$502,0)+COUNTIF($AI$484:AI499,AI500)</f>
        <v>18</v>
      </c>
      <c r="Z500" s="19" t="str">
        <f t="shared" si="334"/>
        <v>SC Paderborn 07</v>
      </c>
      <c r="AA500" s="19">
        <f>COUNTIFS(F4:F265,Z500,G4:G265,"&gt;=0")+COUNTIFS(I4:I265,Z500,H4:H265,"&gt;=0")</f>
        <v>24</v>
      </c>
      <c r="AB500" s="19">
        <f>COUNTIFS(F4:F265,Z500,B4:B265,3)+COUNTIFS(I4:I265,Z500,M4:M265,3)</f>
        <v>4</v>
      </c>
      <c r="AC500" s="19">
        <f>COUNTIFS(F4:F265,Z500,B4:B265,1)+COUNTIFS(I4:I265,Z500,M4:M265,1)</f>
        <v>4</v>
      </c>
      <c r="AD500" s="19">
        <f>COUNTIFS(F4:F265,Z500,B4:B265,0)+COUNTIFS(I4:I265,Z500,M4:M265,0)</f>
        <v>16</v>
      </c>
      <c r="AE500" s="19">
        <f>SUMIF(F4:F265,Z500,G4:G265)+SUMIF(I4:I265,Z500,H4:H265)</f>
        <v>29</v>
      </c>
      <c r="AF500" s="19">
        <f>SUMIF(F4:F265,Z500,H4:H265)+SUMIF(I4:I265,Z500,G4:G265)</f>
        <v>52</v>
      </c>
      <c r="AG500" s="19">
        <f t="shared" si="337"/>
        <v>-23</v>
      </c>
      <c r="AH500" s="19">
        <f t="shared" si="338"/>
        <v>16</v>
      </c>
      <c r="AI500" s="19">
        <f t="shared" si="336"/>
        <v>15999.799000000001</v>
      </c>
      <c r="AJ500" s="2"/>
      <c r="AW500" s="7"/>
    </row>
    <row r="501" spans="1:49" x14ac:dyDescent="0.25">
      <c r="A501" s="1"/>
      <c r="B501" s="1"/>
      <c r="C501" s="1"/>
      <c r="D501" s="64"/>
      <c r="E501" s="1"/>
      <c r="G501" s="1"/>
      <c r="H501" s="1"/>
      <c r="K501" s="64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2" t="str">
        <f t="shared" si="335"/>
        <v>VfL Wolfsburg</v>
      </c>
      <c r="W501" s="2">
        <f t="shared" si="333"/>
        <v>7</v>
      </c>
      <c r="Y501" s="19">
        <f>RANK(AI501,$AI$485:$AI$502,0)+COUNTIF($AI$484:AI500,AI501)</f>
        <v>7</v>
      </c>
      <c r="Z501" s="19" t="str">
        <f t="shared" si="334"/>
        <v>VfL Wolfsburg</v>
      </c>
      <c r="AA501" s="19">
        <f>COUNTIFS(F4:F265,Z501,G4:G265,"&gt;=0")+COUNTIFS(I4:I265,Z501,H4:H265,"&gt;=0")</f>
        <v>24</v>
      </c>
      <c r="AB501" s="19">
        <f>COUNTIFS(F4:F265,Z501,B4:B265,3)+COUNTIFS(I4:I265,Z501,M4:M265,3)</f>
        <v>9</v>
      </c>
      <c r="AC501" s="19">
        <f>COUNTIFS(F4:F265,Z501,B4:B265,1)+COUNTIFS(I4:I265,Z501,M4:M265,1)</f>
        <v>8</v>
      </c>
      <c r="AD501" s="19">
        <f>COUNTIFS(F4:F265,Z501,B4:B265,0)+COUNTIFS(I4:I265,Z501,M4:M265,0)</f>
        <v>7</v>
      </c>
      <c r="AE501" s="19">
        <f>SUMIF(F4:F265,Z501,G4:G265)+SUMIF(I4:I265,Z501,H4:H265)</f>
        <v>34</v>
      </c>
      <c r="AF501" s="19">
        <f>SUMIF(F4:F265,Z501,H4:H265)+SUMIF(I4:I265,Z501,G4:G265)</f>
        <v>30</v>
      </c>
      <c r="AG501" s="19">
        <f t="shared" si="337"/>
        <v>4</v>
      </c>
      <c r="AH501" s="19">
        <f t="shared" si="338"/>
        <v>35</v>
      </c>
      <c r="AI501" s="19">
        <f t="shared" si="336"/>
        <v>35000.074000000001</v>
      </c>
      <c r="AJ501" s="2"/>
      <c r="AW501" s="7"/>
    </row>
    <row r="502" spans="1:49" x14ac:dyDescent="0.25">
      <c r="A502" s="1"/>
      <c r="B502" s="1"/>
      <c r="C502" s="1"/>
      <c r="D502" s="64"/>
      <c r="E502" s="1"/>
      <c r="G502" s="1"/>
      <c r="H502" s="1"/>
      <c r="K502" s="64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2" t="str">
        <f t="shared" si="335"/>
        <v>Werder Bremen</v>
      </c>
      <c r="W502" s="2">
        <f t="shared" si="333"/>
        <v>17</v>
      </c>
      <c r="Y502" s="19">
        <f>RANK(AI502,$AI$485:$AI$502,0)+COUNTIF($AI$484:AI501,AI502)</f>
        <v>17</v>
      </c>
      <c r="Z502" s="19" t="str">
        <f t="shared" si="334"/>
        <v>Werder Bremen</v>
      </c>
      <c r="AA502" s="19">
        <f>COUNTIFS(F4:F265,Z502,G4:G265,"&gt;=0")+COUNTIFS(I4:I265,Z502,H4:H265,"&gt;=0")</f>
        <v>23</v>
      </c>
      <c r="AB502" s="19">
        <f>COUNTIFS(F4:F265,Z502,B4:B265,3)+COUNTIFS(I4:I265,Z502,M4:M265,3)</f>
        <v>4</v>
      </c>
      <c r="AC502" s="19">
        <f>COUNTIFS(F4:F265,Z502,B4:B265,1)+COUNTIFS(I4:I265,Z502,M4:M265,1)</f>
        <v>5</v>
      </c>
      <c r="AD502" s="19">
        <f>COUNTIFS(F4:F265,Z502,B4:B265,0)+COUNTIFS(I4:I265,Z502,M4:M265,0)</f>
        <v>14</v>
      </c>
      <c r="AE502" s="19">
        <f>SUMIF(F4:F265,Z502,G4:G265)+SUMIF(I4:I265,Z502,H4:H265)</f>
        <v>25</v>
      </c>
      <c r="AF502" s="19">
        <f>SUMIF(F4:F265,Z502,H4:H265)+SUMIF(I4:I265,Z502,G4:G265)</f>
        <v>53</v>
      </c>
      <c r="AG502" s="19">
        <f t="shared" si="337"/>
        <v>-28</v>
      </c>
      <c r="AH502" s="19">
        <f t="shared" si="338"/>
        <v>17</v>
      </c>
      <c r="AI502" s="19">
        <f t="shared" si="336"/>
        <v>16999.745000000003</v>
      </c>
      <c r="AJ502" s="2"/>
      <c r="AW502" s="7"/>
    </row>
    <row r="503" spans="1:49" x14ac:dyDescent="0.25">
      <c r="A503" s="1"/>
      <c r="B503" s="1"/>
      <c r="C503" s="1"/>
      <c r="D503" s="64"/>
      <c r="E503" s="1"/>
      <c r="G503" s="1"/>
      <c r="H503" s="1"/>
      <c r="K503" s="64"/>
      <c r="L503" s="1"/>
      <c r="M503" s="1"/>
      <c r="N503" s="1"/>
      <c r="O503" s="1"/>
      <c r="P503" s="1"/>
      <c r="Q503" s="1"/>
      <c r="R503" s="1"/>
      <c r="S503" s="1"/>
      <c r="T503" s="1"/>
      <c r="U503" s="1"/>
      <c r="AJ503" s="2"/>
      <c r="AW503" s="7"/>
    </row>
    <row r="504" spans="1:49" x14ac:dyDescent="0.25">
      <c r="A504" s="1"/>
      <c r="B504" s="1"/>
      <c r="C504" s="1"/>
      <c r="D504" s="64"/>
      <c r="E504" s="1"/>
      <c r="G504" s="1"/>
      <c r="H504" s="1"/>
      <c r="K504" s="64"/>
      <c r="L504" s="1"/>
      <c r="M504" s="1"/>
      <c r="N504" s="1"/>
      <c r="O504" s="1"/>
      <c r="P504" s="1"/>
      <c r="Q504" s="1"/>
      <c r="R504" s="1"/>
      <c r="S504" s="1"/>
      <c r="T504" s="1"/>
      <c r="U504" s="1"/>
      <c r="W504" s="18">
        <v>25</v>
      </c>
      <c r="Y504" s="19"/>
      <c r="Z504" s="19" t="s">
        <v>1</v>
      </c>
      <c r="AA504" s="19" t="s">
        <v>2</v>
      </c>
      <c r="AB504" s="19" t="s">
        <v>3</v>
      </c>
      <c r="AC504" s="19" t="s">
        <v>4</v>
      </c>
      <c r="AD504" s="19" t="s">
        <v>5</v>
      </c>
      <c r="AE504" s="19" t="s">
        <v>6</v>
      </c>
      <c r="AF504" s="19" t="s">
        <v>7</v>
      </c>
      <c r="AG504" s="19" t="s">
        <v>8</v>
      </c>
      <c r="AH504" s="19" t="s">
        <v>9</v>
      </c>
      <c r="AI504" s="19" t="s">
        <v>0</v>
      </c>
      <c r="AJ504" s="2"/>
      <c r="AW504" s="7"/>
    </row>
    <row r="505" spans="1:49" x14ac:dyDescent="0.25">
      <c r="A505" s="1"/>
      <c r="B505" s="1"/>
      <c r="C505" s="1"/>
      <c r="D505" s="64"/>
      <c r="E505" s="1"/>
      <c r="G505" s="1"/>
      <c r="H505" s="1"/>
      <c r="K505" s="64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2" t="str">
        <f>CONCATENATE(Z505)</f>
        <v>1. FC Köln</v>
      </c>
      <c r="W505" s="2">
        <f t="shared" ref="W505:W522" si="339">Y505</f>
        <v>11</v>
      </c>
      <c r="Y505" s="19">
        <f>RANK(AI505,$AI$505:$AI$522,0)+COUNTIF($AI$504:AI504,AI505)</f>
        <v>11</v>
      </c>
      <c r="Z505" s="19" t="str">
        <f t="shared" ref="Z505:Z522" si="340">CONCATENATE(Z5)</f>
        <v>1. FC Köln</v>
      </c>
      <c r="AA505" s="19">
        <f>COUNTIFS(F4:F276,Z505,G4:G276,"&gt;=0")+COUNTIFS(I4:I276,Z505,H4:H276,"&gt;=0")</f>
        <v>23</v>
      </c>
      <c r="AB505" s="19">
        <f>COUNTIFS(F4:F276,Z505,B4:B276,3)+COUNTIFS(I4:I276,Z505,M4:M276,3)</f>
        <v>9</v>
      </c>
      <c r="AC505" s="19">
        <f>COUNTIFS(F4:F276,Z505,B4:B276,1)+COUNTIFS(I4:I276,Z505,M4:M276,1)</f>
        <v>2</v>
      </c>
      <c r="AD505" s="19">
        <f>COUNTIFS(F4:F276,Z505,B4:B276,0)+COUNTIFS(I4:I276,Z505,M4:M276,0)</f>
        <v>12</v>
      </c>
      <c r="AE505" s="19">
        <f>SUMIF(F4:F276,Z505,G4:G276)+SUMIF(I4:I276,Z505,H4:H276)</f>
        <v>36</v>
      </c>
      <c r="AF505" s="19">
        <f>SUMIF(F4:F276,Z505,H4:H276)+SUMIF(I4:I276,Z505,G4:G276)</f>
        <v>42</v>
      </c>
      <c r="AG505" s="19">
        <f>+AE505-AF505</f>
        <v>-6</v>
      </c>
      <c r="AH505" s="19">
        <f>(AB505*3)+AC505</f>
        <v>29</v>
      </c>
      <c r="AI505" s="19">
        <f>SUM(AH505*1000+(AG505)/100+(AE505)/1000)</f>
        <v>28999.975999999999</v>
      </c>
      <c r="AJ505" s="2"/>
      <c r="AW505" s="7"/>
    </row>
    <row r="506" spans="1:49" x14ac:dyDescent="0.25">
      <c r="A506" s="1"/>
      <c r="B506" s="1"/>
      <c r="C506" s="1"/>
      <c r="D506" s="64"/>
      <c r="E506" s="1"/>
      <c r="G506" s="1"/>
      <c r="H506" s="1"/>
      <c r="K506" s="64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2" t="str">
        <f t="shared" ref="V506:V522" si="341">CONCATENATE(Z506)</f>
        <v>1. FC Union Berlin</v>
      </c>
      <c r="W506" s="2">
        <f t="shared" si="339"/>
        <v>10</v>
      </c>
      <c r="Y506" s="19">
        <f>RANK(AI506,$AI$505:$AI$522,0)+COUNTIF($AI$504:AI505,AI506)</f>
        <v>10</v>
      </c>
      <c r="Z506" s="19" t="str">
        <f t="shared" si="340"/>
        <v>1. FC Union Berlin</v>
      </c>
      <c r="AA506" s="19">
        <f>COUNTIFS(F4:F276,Z506,G4:G276,"&gt;=0")+COUNTIFS(I4:I276,Z506,H4:H276,"&gt;=0")</f>
        <v>24</v>
      </c>
      <c r="AB506" s="19">
        <f>COUNTIFS(F4:F276,Z506,B4:B276,3)+COUNTIFS(I4:I276,Z506,M4:M276,3)</f>
        <v>9</v>
      </c>
      <c r="AC506" s="19">
        <f>COUNTIFS(F4:F276,Z506,B4:B276,1)+COUNTIFS(I4:I276,Z506,M4:M276,1)</f>
        <v>3</v>
      </c>
      <c r="AD506" s="19">
        <f>COUNTIFS(F4:F276,Z506,B4:B276,0)+COUNTIFS(I4:I276,Z506,M4:M276,0)</f>
        <v>12</v>
      </c>
      <c r="AE506" s="19">
        <f>SUMIF(F4:F276,Z506,G4:G276)+SUMIF(I4:I276,Z506,H4:H276)</f>
        <v>31</v>
      </c>
      <c r="AF506" s="19">
        <f>SUMIF(F4:F276,Z506,H4:H276)+SUMIF(I4:I276,Z506,G4:G276)</f>
        <v>38</v>
      </c>
      <c r="AG506" s="19">
        <f>+AE506-AF506</f>
        <v>-7</v>
      </c>
      <c r="AH506" s="19">
        <f>(AB506*3)+AC506</f>
        <v>30</v>
      </c>
      <c r="AI506" s="19">
        <f t="shared" ref="AI506:AI522" si="342">SUM(AH506*1000+(AG506)/100+(AE506)/1000)</f>
        <v>29999.960999999999</v>
      </c>
      <c r="AJ506" s="2"/>
      <c r="AW506" s="7"/>
    </row>
    <row r="507" spans="1:49" x14ac:dyDescent="0.25">
      <c r="A507" s="1"/>
      <c r="B507" s="1"/>
      <c r="C507" s="1"/>
      <c r="D507" s="64"/>
      <c r="E507" s="1"/>
      <c r="G507" s="1"/>
      <c r="H507" s="1"/>
      <c r="K507" s="64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2" t="str">
        <f t="shared" si="341"/>
        <v>1. FSV Mainz 05</v>
      </c>
      <c r="W507" s="2">
        <f t="shared" si="339"/>
        <v>15</v>
      </c>
      <c r="Y507" s="19">
        <f>RANK(AI507,$AI$505:$AI$522,0)+COUNTIF($AI$504:AI506,AI507)</f>
        <v>15</v>
      </c>
      <c r="Z507" s="19" t="str">
        <f t="shared" si="340"/>
        <v>1. FSV Mainz 05</v>
      </c>
      <c r="AA507" s="19">
        <f>COUNTIFS(F4:F276,Z507,G4:G276,"&gt;=0")+COUNTIFS(I4:I276,Z507,H4:H276,"&gt;=0")</f>
        <v>24</v>
      </c>
      <c r="AB507" s="19">
        <f>COUNTIFS(F4:F276,Z507,B4:B276,3)+COUNTIFS(I4:I276,Z507,M4:M276,3)</f>
        <v>8</v>
      </c>
      <c r="AC507" s="19">
        <f>COUNTIFS(F4:F276,Z507,B4:B276,1)+COUNTIFS(I4:I276,Z507,M4:M276,1)</f>
        <v>1</v>
      </c>
      <c r="AD507" s="19">
        <f>COUNTIFS(F4:F276,Z507,B4:B276,0)+COUNTIFS(I4:I276,Z507,M4:M276,0)</f>
        <v>15</v>
      </c>
      <c r="AE507" s="19">
        <f>SUMIF(F4:F276,Z507,G4:G276)+SUMIF(I4:I276,Z507,H4:H276)</f>
        <v>33</v>
      </c>
      <c r="AF507" s="19">
        <f>SUMIF(F4:F276,Z507,H4:H276)+SUMIF(I4:I276,Z507,G4:G276)</f>
        <v>52</v>
      </c>
      <c r="AG507" s="19">
        <f>+AE507-AF507</f>
        <v>-19</v>
      </c>
      <c r="AH507" s="19">
        <f>(AB507*3)+AC507</f>
        <v>25</v>
      </c>
      <c r="AI507" s="19">
        <f t="shared" si="342"/>
        <v>24999.843000000001</v>
      </c>
      <c r="AJ507" s="2"/>
      <c r="AW507" s="7"/>
    </row>
    <row r="508" spans="1:49" x14ac:dyDescent="0.25">
      <c r="A508" s="1"/>
      <c r="B508" s="1"/>
      <c r="C508" s="1"/>
      <c r="D508" s="64"/>
      <c r="E508" s="1"/>
      <c r="G508" s="1"/>
      <c r="H508" s="1"/>
      <c r="K508" s="64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2" t="str">
        <f t="shared" si="341"/>
        <v>1899 Hoffenheim</v>
      </c>
      <c r="W508" s="2">
        <f t="shared" si="339"/>
        <v>8</v>
      </c>
      <c r="Y508" s="19">
        <f>RANK(AI508,$AI$505:$AI$522,0)+COUNTIF($AI$504:AI507,AI508)</f>
        <v>8</v>
      </c>
      <c r="Z508" s="19" t="str">
        <f t="shared" si="340"/>
        <v>1899 Hoffenheim</v>
      </c>
      <c r="AA508" s="19">
        <f>COUNTIFS(F4:F276,Z508,G4:G276,"&gt;=0")+COUNTIFS(I4:I276,Z508,H4:H276,"&gt;=0")</f>
        <v>24</v>
      </c>
      <c r="AB508" s="19">
        <f>COUNTIFS(F4:F276,Z508,B4:B276,3)+COUNTIFS(I4:I276,Z508,M4:M276,3)</f>
        <v>10</v>
      </c>
      <c r="AC508" s="19">
        <f>COUNTIFS(F4:F276,Z508,B4:B276,1)+COUNTIFS(I4:I276,Z508,M4:M276,1)</f>
        <v>4</v>
      </c>
      <c r="AD508" s="19">
        <f>COUNTIFS(F4:F276,Z508,B4:B276,0)+COUNTIFS(I4:I276,Z508,M4:M276,0)</f>
        <v>10</v>
      </c>
      <c r="AE508" s="19">
        <f>SUMIF(F4:F276,Z508,G4:G276)+SUMIF(I4:I276,Z508,H4:H276)</f>
        <v>34</v>
      </c>
      <c r="AF508" s="19">
        <f>SUMIF(F4:F276,Z508,H4:H276)+SUMIF(I4:I276,Z508,G4:G276)</f>
        <v>42</v>
      </c>
      <c r="AG508" s="19">
        <f t="shared" ref="AG508:AG522" si="343">+AE508-AF508</f>
        <v>-8</v>
      </c>
      <c r="AH508" s="19">
        <f>(AB508*3)+AC508</f>
        <v>34</v>
      </c>
      <c r="AI508" s="19">
        <f t="shared" si="342"/>
        <v>33999.953999999998</v>
      </c>
      <c r="AJ508" s="2"/>
      <c r="AW508" s="7"/>
    </row>
    <row r="509" spans="1:49" x14ac:dyDescent="0.25">
      <c r="A509" s="1"/>
      <c r="B509" s="1"/>
      <c r="C509" s="1"/>
      <c r="D509" s="64"/>
      <c r="E509" s="1"/>
      <c r="G509" s="1"/>
      <c r="H509" s="1"/>
      <c r="K509" s="64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2" t="str">
        <f t="shared" si="341"/>
        <v>Bayer Leverkusen</v>
      </c>
      <c r="W509" s="2">
        <f t="shared" si="339"/>
        <v>5</v>
      </c>
      <c r="Y509" s="19">
        <f>RANK(AI509,$AI$505:$AI$522,0)+COUNTIF($AI$504:AI508,AI509)</f>
        <v>5</v>
      </c>
      <c r="Z509" s="19" t="str">
        <f t="shared" si="340"/>
        <v>Bayer Leverkusen</v>
      </c>
      <c r="AA509" s="19">
        <f>COUNTIFS(F4:F276,Z509,G4:G276,"&gt;=0")+COUNTIFS(I4:I276,Z509,H4:H276,"&gt;=0")</f>
        <v>24</v>
      </c>
      <c r="AB509" s="19">
        <f>COUNTIFS(F4:F276,Z509,B4:B276,3)+COUNTIFS(I4:I276,Z509,M4:M276,3)</f>
        <v>13</v>
      </c>
      <c r="AC509" s="19">
        <f>COUNTIFS(F4:F276,Z509,B4:B276,1)+COUNTIFS(I4:I276,Z509,M4:M276,1)</f>
        <v>5</v>
      </c>
      <c r="AD509" s="19">
        <f>COUNTIFS(F4:F276,Z509,B4:B276,0)+COUNTIFS(I4:I276,Z509,M4:M276,0)</f>
        <v>6</v>
      </c>
      <c r="AE509" s="19">
        <f>SUMIF(F4:F276,Z509,G4:G276)+SUMIF(I4:I276,Z509,H4:H276)</f>
        <v>41</v>
      </c>
      <c r="AF509" s="19">
        <f>SUMIF(F4:F276,Z509,H4:H276)+SUMIF(I4:I276,Z509,G4:G276)</f>
        <v>30</v>
      </c>
      <c r="AG509" s="19">
        <f t="shared" si="343"/>
        <v>11</v>
      </c>
      <c r="AH509" s="19">
        <f>(AB509*3)+AC509</f>
        <v>44</v>
      </c>
      <c r="AI509" s="19">
        <f t="shared" si="342"/>
        <v>44000.150999999998</v>
      </c>
      <c r="AW509" s="7"/>
    </row>
    <row r="510" spans="1:49" x14ac:dyDescent="0.25">
      <c r="A510" s="1"/>
      <c r="B510" s="1"/>
      <c r="C510" s="1"/>
      <c r="D510" s="64"/>
      <c r="E510" s="1"/>
      <c r="G510" s="1"/>
      <c r="H510" s="1"/>
      <c r="K510" s="64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2" t="str">
        <f t="shared" si="341"/>
        <v>Bayern München</v>
      </c>
      <c r="W510" s="2">
        <f t="shared" si="339"/>
        <v>1</v>
      </c>
      <c r="Y510" s="19">
        <f>RANK(AI510,$AI$505:$AI$522,0)+COUNTIF($AI$504:AI509,AI510)</f>
        <v>1</v>
      </c>
      <c r="Z510" s="19" t="str">
        <f t="shared" si="340"/>
        <v>Bayern München</v>
      </c>
      <c r="AA510" s="19">
        <f>COUNTIFS(F4:F276,Z510,G4:G276,"&gt;=0")+COUNTIFS(I4:I276,Z510,H4:H276,"&gt;=0")</f>
        <v>24</v>
      </c>
      <c r="AB510" s="19">
        <f>COUNTIFS(F4:F276,Z510,B4:B276,3)+COUNTIFS(I4:I276,Z510,M4:M276,3)</f>
        <v>16</v>
      </c>
      <c r="AC510" s="19">
        <f>COUNTIFS(F4:F276,Z510,B4:B276,1)+COUNTIFS(I4:I276,Z510,M4:M276,1)</f>
        <v>4</v>
      </c>
      <c r="AD510" s="19">
        <f>COUNTIFS(F4:F276,Z510,B4:B276,0)+COUNTIFS(I4:I276,Z510,M4:M276,0)</f>
        <v>4</v>
      </c>
      <c r="AE510" s="19">
        <f>SUMIF(F4:F276,Z510,G4:G276)+SUMIF(I4:I276,Z510,H4:H276)</f>
        <v>71</v>
      </c>
      <c r="AF510" s="19">
        <f>SUMIF(F4:F276,Z510,H4:H276)+SUMIF(I4:I276,Z510,G4:G276)</f>
        <v>26</v>
      </c>
      <c r="AG510" s="19">
        <f t="shared" si="343"/>
        <v>45</v>
      </c>
      <c r="AH510" s="19">
        <f t="shared" ref="AH510:AH522" si="344">(AB510*3)+AC510</f>
        <v>52</v>
      </c>
      <c r="AI510" s="19">
        <f t="shared" si="342"/>
        <v>52000.521000000001</v>
      </c>
      <c r="AJ510" s="2"/>
      <c r="AW510" s="7"/>
    </row>
    <row r="511" spans="1:49" x14ac:dyDescent="0.25">
      <c r="A511" s="1"/>
      <c r="B511" s="1"/>
      <c r="C511" s="1"/>
      <c r="D511" s="64"/>
      <c r="E511" s="1"/>
      <c r="G511" s="1"/>
      <c r="H511" s="1"/>
      <c r="K511" s="64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2" t="str">
        <f t="shared" si="341"/>
        <v>Bor. Mönchengladbach</v>
      </c>
      <c r="W511" s="2">
        <f t="shared" si="339"/>
        <v>4</v>
      </c>
      <c r="Y511" s="19">
        <f>RANK(AI511,$AI$505:$AI$522,0)+COUNTIF($AI$504:AI510,AI511)</f>
        <v>4</v>
      </c>
      <c r="Z511" s="19" t="str">
        <f t="shared" si="340"/>
        <v>Bor. Mönchengladbach</v>
      </c>
      <c r="AA511" s="19">
        <f>COUNTIFS(F4:F276,Z511,G4:G276,"&gt;=0")+COUNTIFS(I4:I276,Z511,H4:H276,"&gt;=0")</f>
        <v>23</v>
      </c>
      <c r="AB511" s="19">
        <f>COUNTIFS(F4:F276,Z511,B4:B276,3)+COUNTIFS(I4:I276,Z511,M4:M276,3)</f>
        <v>14</v>
      </c>
      <c r="AC511" s="19">
        <f>COUNTIFS(F4:F276,Z511,B4:B276,1)+COUNTIFS(I4:I276,Z511,M4:M276,1)</f>
        <v>4</v>
      </c>
      <c r="AD511" s="19">
        <f>COUNTIFS(F4:F276,Z511,B4:B276,0)+COUNTIFS(I4:I276,Z511,M4:M276,0)</f>
        <v>5</v>
      </c>
      <c r="AE511" s="19">
        <f>SUMIF(F4:F276,Z511,G4:G276)+SUMIF(I4:I276,Z511,H4:H276)</f>
        <v>46</v>
      </c>
      <c r="AF511" s="19">
        <f>SUMIF(F4:F276,Z511,H4:H276)+SUMIF(I4:I276,Z511,G4:G276)</f>
        <v>27</v>
      </c>
      <c r="AG511" s="19">
        <f t="shared" si="343"/>
        <v>19</v>
      </c>
      <c r="AH511" s="19">
        <f t="shared" si="344"/>
        <v>46</v>
      </c>
      <c r="AI511" s="19">
        <f t="shared" si="342"/>
        <v>46000.236000000004</v>
      </c>
      <c r="AJ511" s="2"/>
      <c r="AW511" s="7"/>
    </row>
    <row r="512" spans="1:49" x14ac:dyDescent="0.25">
      <c r="A512" s="1"/>
      <c r="B512" s="1"/>
      <c r="C512" s="1"/>
      <c r="D512" s="64"/>
      <c r="E512" s="1"/>
      <c r="G512" s="1"/>
      <c r="H512" s="1"/>
      <c r="K512" s="64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2" t="str">
        <f t="shared" si="341"/>
        <v>Borussia Dortmund</v>
      </c>
      <c r="W512" s="2">
        <f t="shared" si="339"/>
        <v>3</v>
      </c>
      <c r="Y512" s="19">
        <f>RANK(AI512,$AI$505:$AI$522,0)+COUNTIF($AI$504:AI511,AI512)</f>
        <v>3</v>
      </c>
      <c r="Z512" s="19" t="str">
        <f t="shared" si="340"/>
        <v>Borussia Dortmund</v>
      </c>
      <c r="AA512" s="19">
        <f>COUNTIFS(F4:F276,Z512,G4:G276,"&gt;=0")+COUNTIFS(I4:I276,Z512,H4:H276,"&gt;=0")</f>
        <v>24</v>
      </c>
      <c r="AB512" s="19">
        <f>COUNTIFS(F4:F276,Z512,B4:B276,3)+COUNTIFS(I4:I276,Z512,M4:M276,3)</f>
        <v>14</v>
      </c>
      <c r="AC512" s="19">
        <f>COUNTIFS(F4:F276,Z512,B4:B276,1)+COUNTIFS(I4:I276,Z512,M4:M276,1)</f>
        <v>6</v>
      </c>
      <c r="AD512" s="19">
        <f>COUNTIFS(F4:F276,Z512,B4:B276,0)+COUNTIFS(I4:I276,Z512,M4:M276,0)</f>
        <v>4</v>
      </c>
      <c r="AE512" s="19">
        <f>SUMIF(F4:F276,Z512,G4:G276)+SUMIF(I4:I276,Z512,H4:H276)</f>
        <v>66</v>
      </c>
      <c r="AF512" s="19">
        <f>SUMIF(F4:F276,Z512,H4:H276)+SUMIF(I4:I276,Z512,G4:G276)</f>
        <v>32</v>
      </c>
      <c r="AG512" s="19">
        <f t="shared" si="343"/>
        <v>34</v>
      </c>
      <c r="AH512" s="19">
        <f t="shared" si="344"/>
        <v>48</v>
      </c>
      <c r="AI512" s="19">
        <f t="shared" si="342"/>
        <v>48000.405999999995</v>
      </c>
      <c r="AJ512" s="2"/>
      <c r="AW512" s="7"/>
    </row>
    <row r="513" spans="1:49" x14ac:dyDescent="0.25">
      <c r="A513" s="1"/>
      <c r="B513" s="1"/>
      <c r="C513" s="1"/>
      <c r="D513" s="64"/>
      <c r="E513" s="1"/>
      <c r="G513" s="1"/>
      <c r="H513" s="1"/>
      <c r="K513" s="64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2" t="str">
        <f t="shared" si="341"/>
        <v>Eintracht Frankfurt</v>
      </c>
      <c r="W513" s="2">
        <f t="shared" si="339"/>
        <v>12</v>
      </c>
      <c r="Y513" s="19">
        <f>RANK(AI513,$AI$505:$AI$522,0)+COUNTIF($AI$504:AI512,AI513)</f>
        <v>12</v>
      </c>
      <c r="Z513" s="19" t="str">
        <f t="shared" si="340"/>
        <v>Eintracht Frankfurt</v>
      </c>
      <c r="AA513" s="19">
        <f>COUNTIFS(F4:F276,Z513,G4:G276,"&gt;=0")+COUNTIFS(I4:I276,Z513,H4:H276,"&gt;=0")</f>
        <v>23</v>
      </c>
      <c r="AB513" s="19">
        <f>COUNTIFS(F4:F276,Z513,B4:B276,3)+COUNTIFS(I4:I276,Z513,M4:M276,3)</f>
        <v>8</v>
      </c>
      <c r="AC513" s="19">
        <f>COUNTIFS(F4:F276,Z513,B4:B276,1)+COUNTIFS(I4:I276,Z513,M4:M276,1)</f>
        <v>4</v>
      </c>
      <c r="AD513" s="19">
        <f>COUNTIFS(F4:F276,Z513,B4:B276,0)+COUNTIFS(I4:I276,Z513,M4:M276,0)</f>
        <v>11</v>
      </c>
      <c r="AE513" s="19">
        <f>SUMIF(F4:F276,Z513,G4:G276)+SUMIF(I4:I276,Z513,H4:H276)</f>
        <v>38</v>
      </c>
      <c r="AF513" s="19">
        <f>SUMIF(F4:F276,Z513,H4:H276)+SUMIF(I4:I276,Z513,G4:G276)</f>
        <v>37</v>
      </c>
      <c r="AG513" s="19">
        <f t="shared" si="343"/>
        <v>1</v>
      </c>
      <c r="AH513" s="19">
        <f t="shared" si="344"/>
        <v>28</v>
      </c>
      <c r="AI513" s="19">
        <f t="shared" si="342"/>
        <v>28000.047999999999</v>
      </c>
      <c r="AJ513" s="2"/>
      <c r="AW513" s="7"/>
    </row>
    <row r="514" spans="1:49" x14ac:dyDescent="0.25">
      <c r="A514" s="1"/>
      <c r="B514" s="1"/>
      <c r="C514" s="1"/>
      <c r="D514" s="64"/>
      <c r="E514" s="1"/>
      <c r="G514" s="1"/>
      <c r="H514" s="1"/>
      <c r="K514" s="64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2" t="str">
        <f t="shared" si="341"/>
        <v>FC Augsburg</v>
      </c>
      <c r="W514" s="2">
        <f t="shared" si="339"/>
        <v>13</v>
      </c>
      <c r="Y514" s="19">
        <f>RANK(AI514,$AI$505:$AI$522,0)+COUNTIF($AI$504:AI513,AI514)</f>
        <v>13</v>
      </c>
      <c r="Z514" s="19" t="str">
        <f t="shared" si="340"/>
        <v>FC Augsburg</v>
      </c>
      <c r="AA514" s="19">
        <f>COUNTIFS(F4:F276,Z514,G4:G276,"&gt;=0")+COUNTIFS(I4:I276,Z514,H4:H276,"&gt;=0")</f>
        <v>24</v>
      </c>
      <c r="AB514" s="19">
        <f>COUNTIFS(F4:F276,Z514,B4:B276,3)+COUNTIFS(I4:I276,Z514,M4:M276,3)</f>
        <v>7</v>
      </c>
      <c r="AC514" s="19">
        <f>COUNTIFS(F4:F276,Z514,B4:B276,1)+COUNTIFS(I4:I276,Z514,M4:M276,1)</f>
        <v>6</v>
      </c>
      <c r="AD514" s="19">
        <f>COUNTIFS(F4:F276,Z514,B4:B276,0)+COUNTIFS(I4:I276,Z514,M4:M276,0)</f>
        <v>11</v>
      </c>
      <c r="AE514" s="19">
        <f>SUMIF(F4:F276,Z514,G4:G276)+SUMIF(I4:I276,Z514,H4:H276)</f>
        <v>36</v>
      </c>
      <c r="AF514" s="19">
        <f>SUMIF(F4:F276,Z514,H4:H276)+SUMIF(I4:I276,Z514,G4:G276)</f>
        <v>50</v>
      </c>
      <c r="AG514" s="19">
        <f t="shared" si="343"/>
        <v>-14</v>
      </c>
      <c r="AH514" s="19">
        <f t="shared" si="344"/>
        <v>27</v>
      </c>
      <c r="AI514" s="19">
        <f t="shared" si="342"/>
        <v>26999.896000000001</v>
      </c>
      <c r="AJ514" s="2"/>
      <c r="AW514" s="7"/>
    </row>
    <row r="515" spans="1:49" x14ac:dyDescent="0.25">
      <c r="A515" s="1"/>
      <c r="B515" s="1"/>
      <c r="C515" s="1"/>
      <c r="D515" s="64"/>
      <c r="E515" s="1"/>
      <c r="G515" s="1"/>
      <c r="H515" s="1"/>
      <c r="K515" s="64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2" t="str">
        <f t="shared" si="341"/>
        <v>FC Schalke 04</v>
      </c>
      <c r="W515" s="2">
        <f t="shared" si="339"/>
        <v>6</v>
      </c>
      <c r="Y515" s="19">
        <f>RANK(AI515,$AI$505:$AI$522,0)+COUNTIF($AI$504:AI514,AI515)</f>
        <v>6</v>
      </c>
      <c r="Z515" s="19" t="str">
        <f t="shared" si="340"/>
        <v>FC Schalke 04</v>
      </c>
      <c r="AA515" s="19">
        <f>COUNTIFS(F4:F276,Z515,G4:G276,"&gt;=0")+COUNTIFS(I4:I276,Z515,H4:H276,"&gt;=0")</f>
        <v>24</v>
      </c>
      <c r="AB515" s="19">
        <f>COUNTIFS(F4:F276,Z515,B4:B276,3)+COUNTIFS(I4:I276,Z515,M4:M276,3)</f>
        <v>9</v>
      </c>
      <c r="AC515" s="19">
        <f>COUNTIFS(F4:F276,Z515,B4:B276,1)+COUNTIFS(I4:I276,Z515,M4:M276,1)</f>
        <v>9</v>
      </c>
      <c r="AD515" s="19">
        <f>COUNTIFS(F4:F276,Z515,B4:B276,0)+COUNTIFS(I4:I276,Z515,M4:M276,0)</f>
        <v>6</v>
      </c>
      <c r="AE515" s="19">
        <f>SUMIF(F4:F276,Z515,G4:G276)+SUMIF(I4:I276,Z515,H4:H276)</f>
        <v>32</v>
      </c>
      <c r="AF515" s="19">
        <f>SUMIF(F4:F276,Z515,H4:H276)+SUMIF(I4:I276,Z515,G4:G276)</f>
        <v>35</v>
      </c>
      <c r="AG515" s="19">
        <f t="shared" si="343"/>
        <v>-3</v>
      </c>
      <c r="AH515" s="19">
        <f t="shared" si="344"/>
        <v>36</v>
      </c>
      <c r="AI515" s="19">
        <f t="shared" si="342"/>
        <v>36000.002</v>
      </c>
      <c r="AJ515" s="2"/>
      <c r="AW515" s="7"/>
    </row>
    <row r="516" spans="1:49" x14ac:dyDescent="0.25">
      <c r="A516" s="1"/>
      <c r="B516" s="1"/>
      <c r="C516" s="1"/>
      <c r="D516" s="64"/>
      <c r="E516" s="1"/>
      <c r="G516" s="1"/>
      <c r="H516" s="1"/>
      <c r="K516" s="64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2" t="str">
        <f t="shared" si="341"/>
        <v>Fortuna Düsseldorf</v>
      </c>
      <c r="W516" s="2">
        <f t="shared" si="339"/>
        <v>16</v>
      </c>
      <c r="Y516" s="19">
        <f>RANK(AI516,$AI$505:$AI$522,0)+COUNTIF($AI$504:AI515,AI516)</f>
        <v>16</v>
      </c>
      <c r="Z516" s="19" t="str">
        <f t="shared" si="340"/>
        <v>Fortuna Düsseldorf</v>
      </c>
      <c r="AA516" s="19">
        <f>COUNTIFS(F4:F276,Z516,G4:G276,"&gt;=0")+COUNTIFS(I4:I276,Z516,H4:H276,"&gt;=0")</f>
        <v>24</v>
      </c>
      <c r="AB516" s="19">
        <f>COUNTIFS(F4:F276,Z516,B4:B276,3)+COUNTIFS(I4:I276,Z516,M4:M276,3)</f>
        <v>5</v>
      </c>
      <c r="AC516" s="19">
        <f>COUNTIFS(F4:F276,Z516,B4:B276,1)+COUNTIFS(I4:I276,Z516,M4:M276,1)</f>
        <v>6</v>
      </c>
      <c r="AD516" s="19">
        <f>COUNTIFS(F4:F276,Z516,B4:B276,0)+COUNTIFS(I4:I276,Z516,M4:M276,0)</f>
        <v>13</v>
      </c>
      <c r="AE516" s="19">
        <f>SUMIF(F4:F276,Z516,G4:G276)+SUMIF(I4:I276,Z516,H4:H276)</f>
        <v>26</v>
      </c>
      <c r="AF516" s="19">
        <f>SUMIF(F4:F276,Z516,H4:H276)+SUMIF(I4:I276,Z516,G4:G276)</f>
        <v>49</v>
      </c>
      <c r="AG516" s="19">
        <f t="shared" si="343"/>
        <v>-23</v>
      </c>
      <c r="AH516" s="19">
        <f t="shared" si="344"/>
        <v>21</v>
      </c>
      <c r="AI516" s="19">
        <f t="shared" si="342"/>
        <v>20999.796000000002</v>
      </c>
      <c r="AJ516" s="2"/>
      <c r="AW516" s="7"/>
    </row>
    <row r="517" spans="1:49" x14ac:dyDescent="0.25">
      <c r="A517" s="1"/>
      <c r="B517" s="1"/>
      <c r="C517" s="1"/>
      <c r="D517" s="64"/>
      <c r="E517" s="1"/>
      <c r="G517" s="1"/>
      <c r="H517" s="1"/>
      <c r="K517" s="64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2" t="str">
        <f t="shared" si="341"/>
        <v>Hertha BSC</v>
      </c>
      <c r="W517" s="2">
        <f t="shared" si="339"/>
        <v>14</v>
      </c>
      <c r="Y517" s="19">
        <f>RANK(AI517,$AI$505:$AI$522,0)+COUNTIF($AI$504:AI516,AI517)</f>
        <v>14</v>
      </c>
      <c r="Z517" s="19" t="str">
        <f t="shared" si="340"/>
        <v>Hertha BSC</v>
      </c>
      <c r="AA517" s="19">
        <f>COUNTIFS(F4:F276,Z517,G4:G276,"&gt;=0")+COUNTIFS(I4:I276,Z517,H4:H276,"&gt;=0")</f>
        <v>24</v>
      </c>
      <c r="AB517" s="19">
        <f>COUNTIFS(F4:F276,Z517,B4:B276,3)+COUNTIFS(I4:I276,Z517,M4:M276,3)</f>
        <v>7</v>
      </c>
      <c r="AC517" s="19">
        <f>COUNTIFS(F4:F276,Z517,B4:B276,1)+COUNTIFS(I4:I276,Z517,M4:M276,1)</f>
        <v>6</v>
      </c>
      <c r="AD517" s="19">
        <f>COUNTIFS(F4:F276,Z517,B4:B276,0)+COUNTIFS(I4:I276,Z517,M4:M276,0)</f>
        <v>11</v>
      </c>
      <c r="AE517" s="19">
        <f>SUMIF(F4:F276,Z517,G4:G276)+SUMIF(I4:I276,Z517,H4:H276)</f>
        <v>30</v>
      </c>
      <c r="AF517" s="19">
        <f>SUMIF(F4:F276,Z517,H4:H276)+SUMIF(I4:I276,Z517,G4:G276)</f>
        <v>46</v>
      </c>
      <c r="AG517" s="19">
        <f t="shared" si="343"/>
        <v>-16</v>
      </c>
      <c r="AH517" s="19">
        <f t="shared" si="344"/>
        <v>27</v>
      </c>
      <c r="AI517" s="19">
        <f t="shared" si="342"/>
        <v>26999.87</v>
      </c>
      <c r="AJ517" s="2"/>
      <c r="AW517" s="7"/>
    </row>
    <row r="518" spans="1:49" x14ac:dyDescent="0.25">
      <c r="A518" s="1"/>
      <c r="B518" s="1"/>
      <c r="C518" s="1"/>
      <c r="D518" s="64"/>
      <c r="E518" s="1"/>
      <c r="G518" s="1"/>
      <c r="H518" s="1"/>
      <c r="K518" s="64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2" t="str">
        <f t="shared" si="341"/>
        <v>RB Leipzig</v>
      </c>
      <c r="W518" s="2">
        <f t="shared" si="339"/>
        <v>2</v>
      </c>
      <c r="Y518" s="19">
        <f>RANK(AI518,$AI$505:$AI$522,0)+COUNTIF($AI$504:AI517,AI518)</f>
        <v>2</v>
      </c>
      <c r="Z518" s="19" t="str">
        <f t="shared" si="340"/>
        <v>RB Leipzig</v>
      </c>
      <c r="AA518" s="19">
        <f>COUNTIFS(F4:F276,Z518,G4:G276,"&gt;=0")+COUNTIFS(I4:I276,Z518,H4:H276,"&gt;=0")</f>
        <v>24</v>
      </c>
      <c r="AB518" s="19">
        <f>COUNTIFS(F4:F276,Z518,B4:B276,3)+COUNTIFS(I4:I276,Z518,M4:M276,3)</f>
        <v>14</v>
      </c>
      <c r="AC518" s="19">
        <f>COUNTIFS(F4:F276,Z518,B4:B276,1)+COUNTIFS(I4:I276,Z518,M4:M276,1)</f>
        <v>7</v>
      </c>
      <c r="AD518" s="19">
        <f>COUNTIFS(F4:F276,Z518,B4:B276,0)+COUNTIFS(I4:I276,Z518,M4:M276,0)</f>
        <v>3</v>
      </c>
      <c r="AE518" s="19">
        <f>SUMIF(F4:F276,Z518,G4:G276)+SUMIF(I4:I276,Z518,H4:H276)</f>
        <v>62</v>
      </c>
      <c r="AF518" s="19">
        <f>SUMIF(F4:F276,Z518,H4:H276)+SUMIF(I4:I276,Z518,G4:G276)</f>
        <v>26</v>
      </c>
      <c r="AG518" s="19">
        <f t="shared" si="343"/>
        <v>36</v>
      </c>
      <c r="AH518" s="19">
        <f t="shared" si="344"/>
        <v>49</v>
      </c>
      <c r="AI518" s="19">
        <f t="shared" si="342"/>
        <v>49000.421999999999</v>
      </c>
      <c r="AJ518" s="2"/>
      <c r="AW518" s="7"/>
    </row>
    <row r="519" spans="1:49" x14ac:dyDescent="0.25">
      <c r="A519" s="1"/>
      <c r="B519" s="1"/>
      <c r="C519" s="1"/>
      <c r="D519" s="64"/>
      <c r="E519" s="1"/>
      <c r="G519" s="1"/>
      <c r="H519" s="1"/>
      <c r="K519" s="64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2" t="str">
        <f t="shared" si="341"/>
        <v>SC Freiburg</v>
      </c>
      <c r="W519" s="2">
        <f t="shared" si="339"/>
        <v>9</v>
      </c>
      <c r="Y519" s="19">
        <f>RANK(AI519,$AI$505:$AI$522,0)+COUNTIF($AI$504:AI518,AI519)</f>
        <v>9</v>
      </c>
      <c r="Z519" s="19" t="str">
        <f t="shared" si="340"/>
        <v>SC Freiburg</v>
      </c>
      <c r="AA519" s="19">
        <f>COUNTIFS(F4:F276,Z519,G4:G276,"&gt;=0")+COUNTIFS(I4:I276,Z519,H4:H276,"&gt;=0")</f>
        <v>24</v>
      </c>
      <c r="AB519" s="19">
        <f>COUNTIFS(F4:F276,Z519,B4:B276,3)+COUNTIFS(I4:I276,Z519,M4:M276,3)</f>
        <v>9</v>
      </c>
      <c r="AC519" s="19">
        <f>COUNTIFS(F4:F276,Z519,B4:B276,1)+COUNTIFS(I4:I276,Z519,M4:M276,1)</f>
        <v>6</v>
      </c>
      <c r="AD519" s="19">
        <f>COUNTIFS(F4:F276,Z519,B4:B276,0)+COUNTIFS(I4:I276,Z519,M4:M276,0)</f>
        <v>9</v>
      </c>
      <c r="AE519" s="19">
        <f>SUMIF(F4:F276,Z519,G4:G276)+SUMIF(I4:I276,Z519,H4:H276)</f>
        <v>31</v>
      </c>
      <c r="AF519" s="19">
        <f>SUMIF(F4:F276,Z519,H4:H276)+SUMIF(I4:I276,Z519,G4:G276)</f>
        <v>34</v>
      </c>
      <c r="AG519" s="19">
        <f t="shared" si="343"/>
        <v>-3</v>
      </c>
      <c r="AH519" s="19">
        <f t="shared" si="344"/>
        <v>33</v>
      </c>
      <c r="AI519" s="19">
        <f t="shared" si="342"/>
        <v>33000.001000000004</v>
      </c>
      <c r="AJ519" s="2"/>
      <c r="AW519" s="7"/>
    </row>
    <row r="520" spans="1:49" x14ac:dyDescent="0.25">
      <c r="A520" s="1"/>
      <c r="B520" s="1"/>
      <c r="C520" s="1"/>
      <c r="D520" s="64"/>
      <c r="E520" s="1"/>
      <c r="G520" s="1"/>
      <c r="H520" s="1"/>
      <c r="K520" s="64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2" t="str">
        <f t="shared" si="341"/>
        <v>SC Paderborn 07</v>
      </c>
      <c r="W520" s="2">
        <f t="shared" si="339"/>
        <v>18</v>
      </c>
      <c r="Y520" s="19">
        <f>RANK(AI520,$AI$505:$AI$522,0)+COUNTIF($AI$504:AI519,AI520)</f>
        <v>18</v>
      </c>
      <c r="Z520" s="19" t="str">
        <f t="shared" si="340"/>
        <v>SC Paderborn 07</v>
      </c>
      <c r="AA520" s="19">
        <f>COUNTIFS(F4:F276,Z520,G4:G276,"&gt;=0")+COUNTIFS(I4:I276,Z520,H4:H276,"&gt;=0")</f>
        <v>24</v>
      </c>
      <c r="AB520" s="19">
        <f>COUNTIFS(F4:F276,Z520,B4:B276,3)+COUNTIFS(I4:I276,Z520,M4:M276,3)</f>
        <v>4</v>
      </c>
      <c r="AC520" s="19">
        <f>COUNTIFS(F4:F276,Z520,B4:B276,1)+COUNTIFS(I4:I276,Z520,M4:M276,1)</f>
        <v>4</v>
      </c>
      <c r="AD520" s="19">
        <f>COUNTIFS(F4:F276,Z520,B4:B276,0)+COUNTIFS(I4:I276,Z520,M4:M276,0)</f>
        <v>16</v>
      </c>
      <c r="AE520" s="19">
        <f>SUMIF(F4:F276,Z520,G4:G276)+SUMIF(I4:I276,Z520,H4:H276)</f>
        <v>29</v>
      </c>
      <c r="AF520" s="19">
        <f>SUMIF(F4:F276,Z520,H4:H276)+SUMIF(I4:I276,Z520,G4:G276)</f>
        <v>52</v>
      </c>
      <c r="AG520" s="19">
        <f t="shared" si="343"/>
        <v>-23</v>
      </c>
      <c r="AH520" s="19">
        <f t="shared" si="344"/>
        <v>16</v>
      </c>
      <c r="AI520" s="19">
        <f t="shared" si="342"/>
        <v>15999.799000000001</v>
      </c>
      <c r="AJ520" s="2"/>
      <c r="AW520" s="7"/>
    </row>
    <row r="521" spans="1:49" x14ac:dyDescent="0.25">
      <c r="A521" s="1"/>
      <c r="B521" s="1"/>
      <c r="C521" s="1"/>
      <c r="D521" s="64"/>
      <c r="E521" s="1"/>
      <c r="G521" s="1"/>
      <c r="H521" s="1"/>
      <c r="K521" s="64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2" t="str">
        <f t="shared" si="341"/>
        <v>VfL Wolfsburg</v>
      </c>
      <c r="W521" s="2">
        <f t="shared" si="339"/>
        <v>7</v>
      </c>
      <c r="Y521" s="19">
        <f>RANK(AI521,$AI$505:$AI$522,0)+COUNTIF($AI$504:AI520,AI521)</f>
        <v>7</v>
      </c>
      <c r="Z521" s="19" t="str">
        <f t="shared" si="340"/>
        <v>VfL Wolfsburg</v>
      </c>
      <c r="AA521" s="19">
        <f>COUNTIFS(F4:F276,Z521,G4:G276,"&gt;=0")+COUNTIFS(I4:I276,Z521,H4:H276,"&gt;=0")</f>
        <v>24</v>
      </c>
      <c r="AB521" s="19">
        <f>COUNTIFS(F4:F276,Z521,B4:B276,3)+COUNTIFS(I4:I276,Z521,M4:M276,3)</f>
        <v>9</v>
      </c>
      <c r="AC521" s="19">
        <f>COUNTIFS(F4:F276,Z521,B4:B276,1)+COUNTIFS(I4:I276,Z521,M4:M276,1)</f>
        <v>8</v>
      </c>
      <c r="AD521" s="19">
        <f>COUNTIFS(F4:F276,Z521,B4:B276,0)+COUNTIFS(I4:I276,Z521,M4:M276,0)</f>
        <v>7</v>
      </c>
      <c r="AE521" s="19">
        <f>SUMIF(F4:F276,Z521,G4:G276)+SUMIF(I4:I276,Z521,H4:H276)</f>
        <v>34</v>
      </c>
      <c r="AF521" s="19">
        <f>SUMIF(F4:F276,Z521,H4:H276)+SUMIF(I4:I276,Z521,G4:G276)</f>
        <v>30</v>
      </c>
      <c r="AG521" s="19">
        <f t="shared" si="343"/>
        <v>4</v>
      </c>
      <c r="AH521" s="19">
        <f t="shared" si="344"/>
        <v>35</v>
      </c>
      <c r="AI521" s="19">
        <f t="shared" si="342"/>
        <v>35000.074000000001</v>
      </c>
      <c r="AJ521" s="2"/>
      <c r="AW521" s="7"/>
    </row>
    <row r="522" spans="1:49" x14ac:dyDescent="0.25">
      <c r="A522" s="1"/>
      <c r="B522" s="1"/>
      <c r="C522" s="1"/>
      <c r="D522" s="64"/>
      <c r="E522" s="1"/>
      <c r="G522" s="1"/>
      <c r="H522" s="1"/>
      <c r="K522" s="64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2" t="str">
        <f t="shared" si="341"/>
        <v>Werder Bremen</v>
      </c>
      <c r="W522" s="2">
        <f t="shared" si="339"/>
        <v>17</v>
      </c>
      <c r="Y522" s="19">
        <f>RANK(AI522,$AI$505:$AI$522,0)+COUNTIF($AI$504:AI521,AI522)</f>
        <v>17</v>
      </c>
      <c r="Z522" s="19" t="str">
        <f t="shared" si="340"/>
        <v>Werder Bremen</v>
      </c>
      <c r="AA522" s="19">
        <f>COUNTIFS(F4:F276,Z522,G4:G276,"&gt;=0")+COUNTIFS(I4:I276,Z522,H4:H276,"&gt;=0")</f>
        <v>23</v>
      </c>
      <c r="AB522" s="19">
        <f>COUNTIFS(F4:F276,Z522,B4:B276,3)+COUNTIFS(I4:I276,Z522,M4:M276,3)</f>
        <v>4</v>
      </c>
      <c r="AC522" s="19">
        <f>COUNTIFS(F4:F276,Z522,B4:B276,1)+COUNTIFS(I4:I276,Z522,M4:M276,1)</f>
        <v>5</v>
      </c>
      <c r="AD522" s="19">
        <f>COUNTIFS(F4:F276,Z522,B4:B276,0)+COUNTIFS(I4:I276,Z522,M4:M276,0)</f>
        <v>14</v>
      </c>
      <c r="AE522" s="19">
        <f>SUMIF(F4:F276,Z522,G4:G276)+SUMIF(I4:I276,Z522,H4:H276)</f>
        <v>25</v>
      </c>
      <c r="AF522" s="19">
        <f>SUMIF(F4:F276,Z522,H4:H276)+SUMIF(I4:I276,Z522,G4:G276)</f>
        <v>53</v>
      </c>
      <c r="AG522" s="19">
        <f t="shared" si="343"/>
        <v>-28</v>
      </c>
      <c r="AH522" s="19">
        <f t="shared" si="344"/>
        <v>17</v>
      </c>
      <c r="AI522" s="19">
        <f t="shared" si="342"/>
        <v>16999.745000000003</v>
      </c>
      <c r="AJ522" s="2"/>
      <c r="AW522" s="7"/>
    </row>
    <row r="523" spans="1:49" x14ac:dyDescent="0.25">
      <c r="A523" s="1"/>
      <c r="B523" s="1"/>
      <c r="C523" s="1"/>
      <c r="D523" s="64"/>
      <c r="E523" s="1"/>
      <c r="G523" s="1"/>
      <c r="H523" s="1"/>
      <c r="K523" s="64"/>
      <c r="L523" s="1"/>
      <c r="M523" s="1"/>
      <c r="N523" s="1"/>
      <c r="O523" s="1"/>
      <c r="P523" s="1"/>
      <c r="Q523" s="1"/>
      <c r="R523" s="1"/>
      <c r="S523" s="1"/>
      <c r="T523" s="1"/>
      <c r="U523" s="1"/>
      <c r="AJ523" s="2"/>
      <c r="AW523" s="7"/>
    </row>
    <row r="524" spans="1:49" x14ac:dyDescent="0.25">
      <c r="A524" s="1"/>
      <c r="B524" s="1"/>
      <c r="C524" s="1"/>
      <c r="D524" s="64"/>
      <c r="E524" s="1"/>
      <c r="G524" s="1"/>
      <c r="H524" s="1"/>
      <c r="K524" s="64"/>
      <c r="L524" s="1"/>
      <c r="M524" s="1"/>
      <c r="N524" s="1"/>
      <c r="O524" s="1"/>
      <c r="P524" s="1"/>
      <c r="Q524" s="1"/>
      <c r="R524" s="1"/>
      <c r="S524" s="1"/>
      <c r="T524" s="1"/>
      <c r="U524" s="1"/>
      <c r="W524" s="18">
        <v>26</v>
      </c>
      <c r="Y524" s="19"/>
      <c r="Z524" s="19" t="s">
        <v>1</v>
      </c>
      <c r="AA524" s="19" t="s">
        <v>2</v>
      </c>
      <c r="AB524" s="19" t="s">
        <v>3</v>
      </c>
      <c r="AC524" s="19" t="s">
        <v>4</v>
      </c>
      <c r="AD524" s="19" t="s">
        <v>5</v>
      </c>
      <c r="AE524" s="19" t="s">
        <v>6</v>
      </c>
      <c r="AF524" s="19" t="s">
        <v>7</v>
      </c>
      <c r="AG524" s="19" t="s">
        <v>8</v>
      </c>
      <c r="AH524" s="19" t="s">
        <v>9</v>
      </c>
      <c r="AI524" s="19" t="s">
        <v>0</v>
      </c>
      <c r="AJ524" s="2"/>
      <c r="AW524" s="7"/>
    </row>
    <row r="525" spans="1:49" x14ac:dyDescent="0.25">
      <c r="A525" s="1"/>
      <c r="B525" s="1"/>
      <c r="C525" s="1"/>
      <c r="D525" s="64"/>
      <c r="E525" s="1"/>
      <c r="G525" s="1"/>
      <c r="H525" s="1"/>
      <c r="K525" s="64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2" t="str">
        <f>CONCATENATE(Z525)</f>
        <v>1. FC Köln</v>
      </c>
      <c r="W525" s="2">
        <f t="shared" ref="W525:W542" si="345">Y525</f>
        <v>11</v>
      </c>
      <c r="Y525" s="19">
        <f>RANK(AI525,$AI$525:$AI$542,0)+COUNTIF($AI$524:AI524,AI525)</f>
        <v>11</v>
      </c>
      <c r="Z525" s="19" t="str">
        <f t="shared" ref="Z525:Z542" si="346">CONCATENATE(Z5)</f>
        <v>1. FC Köln</v>
      </c>
      <c r="AA525" s="19">
        <f>COUNTIFS(F4:F287,Z525,G4:G287,"&gt;=0")+COUNTIFS(I4:I287,Z525,H4:H287,"&gt;=0")</f>
        <v>23</v>
      </c>
      <c r="AB525" s="19">
        <f>COUNTIFS(F4:F287,Z525,B4:B287,3)+COUNTIFS(I4:I287,Z525,M4:M287,3)</f>
        <v>9</v>
      </c>
      <c r="AC525" s="19">
        <f>COUNTIFS(F4:F287,Z525,B4:B287,1)+COUNTIFS(I4:I287,Z525,M4:M287,1)</f>
        <v>2</v>
      </c>
      <c r="AD525" s="19">
        <f>COUNTIFS(F4:F287,Z525,B4:B287,0)+COUNTIFS(I4:I287,Z525,M4:M287,0)</f>
        <v>12</v>
      </c>
      <c r="AE525" s="19">
        <f>SUMIF(F4:F287,Z525,G4:G287)+SUMIF(I4:I287,Z525,H4:H287)</f>
        <v>36</v>
      </c>
      <c r="AF525" s="19">
        <f>SUMIF(F4:F287,Z525,H4:H287)+SUMIF(I4:I287,Z525,G4:G287)</f>
        <v>42</v>
      </c>
      <c r="AG525" s="19">
        <f>+AE525-AF525</f>
        <v>-6</v>
      </c>
      <c r="AH525" s="19">
        <f>(AB525*3)+AC525</f>
        <v>29</v>
      </c>
      <c r="AI525" s="19">
        <f>SUM(AH525*1000+(AG525)/100+(AE525)/1000)</f>
        <v>28999.975999999999</v>
      </c>
      <c r="AJ525" s="2"/>
      <c r="AW525" s="7"/>
    </row>
    <row r="526" spans="1:49" x14ac:dyDescent="0.25">
      <c r="A526" s="1"/>
      <c r="B526" s="1"/>
      <c r="C526" s="1"/>
      <c r="D526" s="64"/>
      <c r="E526" s="1"/>
      <c r="G526" s="1"/>
      <c r="H526" s="1"/>
      <c r="K526" s="64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2" t="str">
        <f>CONCATENATE(Z526)</f>
        <v>1. FC Union Berlin</v>
      </c>
      <c r="W526" s="2">
        <f t="shared" si="345"/>
        <v>10</v>
      </c>
      <c r="Y526" s="19">
        <f>RANK(AI526,$AI$525:$AI$542,0)+COUNTIF($AI$524:AI525,AI526)</f>
        <v>10</v>
      </c>
      <c r="Z526" s="19" t="str">
        <f t="shared" si="346"/>
        <v>1. FC Union Berlin</v>
      </c>
      <c r="AA526" s="19">
        <f>COUNTIFS(F4:F287,Z526,G4:G287,"&gt;=0")+COUNTIFS(I4:I287,Z526,H4:H287,"&gt;=0")</f>
        <v>24</v>
      </c>
      <c r="AB526" s="19">
        <f>COUNTIFS(F4:F287,Z526,B4:B287,3)+COUNTIFS(I4:I287,Z526,M4:M287,3)</f>
        <v>9</v>
      </c>
      <c r="AC526" s="19">
        <f>COUNTIFS(F4:F287,Z526,B4:B287,1)+COUNTIFS(I4:I287,Z526,M4:M287,1)</f>
        <v>3</v>
      </c>
      <c r="AD526" s="19">
        <f>COUNTIFS(F4:F287,Z526,B4:B287,0)+COUNTIFS(I4:I287,Z526,M4:M287,0)</f>
        <v>12</v>
      </c>
      <c r="AE526" s="19">
        <f>SUMIF(F4:F287,Z526,G4:G287)+SUMIF(I4:I287,Z526,H4:H287)</f>
        <v>31</v>
      </c>
      <c r="AF526" s="19">
        <f>SUMIF(F4:F287,Z526,H4:H287)+SUMIF(I4:I287,Z526,G4:G287)</f>
        <v>38</v>
      </c>
      <c r="AG526" s="19">
        <f>+AE526-AF526</f>
        <v>-7</v>
      </c>
      <c r="AH526" s="19">
        <f>(AB526*3)+AC526</f>
        <v>30</v>
      </c>
      <c r="AI526" s="19">
        <f t="shared" ref="AI526:AI542" si="347">SUM(AH526*1000+(AG526)/100+(AE526)/1000)</f>
        <v>29999.960999999999</v>
      </c>
      <c r="AJ526" s="2"/>
      <c r="AW526" s="7"/>
    </row>
    <row r="527" spans="1:49" x14ac:dyDescent="0.25">
      <c r="A527" s="1"/>
      <c r="B527" s="1"/>
      <c r="C527" s="1"/>
      <c r="D527" s="64"/>
      <c r="E527" s="1"/>
      <c r="G527" s="1"/>
      <c r="H527" s="1"/>
      <c r="K527" s="64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2" t="str">
        <f t="shared" ref="V527:V542" si="348">CONCATENATE(Z527)</f>
        <v>1. FSV Mainz 05</v>
      </c>
      <c r="W527" s="2">
        <f t="shared" si="345"/>
        <v>15</v>
      </c>
      <c r="Y527" s="19">
        <f>RANK(AI527,$AI$525:$AI$542,0)+COUNTIF($AI$524:AI526,AI527)</f>
        <v>15</v>
      </c>
      <c r="Z527" s="19" t="str">
        <f t="shared" si="346"/>
        <v>1. FSV Mainz 05</v>
      </c>
      <c r="AA527" s="19">
        <f>COUNTIFS(F4:F287,Z527,G4:G287,"&gt;=0")+COUNTIFS(I4:I287,Z527,H4:H287,"&gt;=0")</f>
        <v>24</v>
      </c>
      <c r="AB527" s="19">
        <f>COUNTIFS(F4:F287,Z527,B4:B287,3)+COUNTIFS(I4:I287,Z527,M4:M287,3)</f>
        <v>8</v>
      </c>
      <c r="AC527" s="19">
        <f>COUNTIFS(F4:F287,Z527,B4:B287,1)+COUNTIFS(I4:I287,Z527,M4:M287,1)</f>
        <v>1</v>
      </c>
      <c r="AD527" s="19">
        <f>COUNTIFS(F4:F287,Z527,B4:B287,0)+COUNTIFS(I4:I287,Z527,M4:M287,0)</f>
        <v>15</v>
      </c>
      <c r="AE527" s="19">
        <f>SUMIF(F4:F287,Z527,G4:G287)+SUMIF(I4:I287,Z527,H4:H287)</f>
        <v>33</v>
      </c>
      <c r="AF527" s="19">
        <f>SUMIF(F4:F287,Z527,H4:H287)+SUMIF(I4:I287,Z527,G4:G287)</f>
        <v>52</v>
      </c>
      <c r="AG527" s="19">
        <f>+AE527-AF527</f>
        <v>-19</v>
      </c>
      <c r="AH527" s="19">
        <f>(AB527*3)+AC527</f>
        <v>25</v>
      </c>
      <c r="AI527" s="19">
        <f t="shared" si="347"/>
        <v>24999.843000000001</v>
      </c>
      <c r="AJ527" s="2"/>
      <c r="AW527" s="7"/>
    </row>
    <row r="528" spans="1:49" x14ac:dyDescent="0.25">
      <c r="A528" s="1"/>
      <c r="B528" s="1"/>
      <c r="C528" s="1"/>
      <c r="D528" s="64"/>
      <c r="E528" s="1"/>
      <c r="G528" s="1"/>
      <c r="H528" s="1"/>
      <c r="K528" s="64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2" t="str">
        <f t="shared" si="348"/>
        <v>1899 Hoffenheim</v>
      </c>
      <c r="W528" s="2">
        <f t="shared" si="345"/>
        <v>8</v>
      </c>
      <c r="Y528" s="19">
        <f>RANK(AI528,$AI$525:$AI$542,0)+COUNTIF($AI$524:AI527,AI528)</f>
        <v>8</v>
      </c>
      <c r="Z528" s="19" t="str">
        <f t="shared" si="346"/>
        <v>1899 Hoffenheim</v>
      </c>
      <c r="AA528" s="19">
        <f>COUNTIFS(F4:F287,Z528,G4:G287,"&gt;=0")+COUNTIFS(I4:I287,Z528,H4:H287,"&gt;=0")</f>
        <v>24</v>
      </c>
      <c r="AB528" s="19">
        <f>COUNTIFS(F4:F287,Z528,B4:B287,3)+COUNTIFS(I4:I287,Z528,M4:M287,3)</f>
        <v>10</v>
      </c>
      <c r="AC528" s="19">
        <f>COUNTIFS(F4:F287,Z528,B4:B287,1)+COUNTIFS(I4:I287,Z528,M4:M287,1)</f>
        <v>4</v>
      </c>
      <c r="AD528" s="19">
        <f>COUNTIFS(F4:F287,Z528,B4:B287,0)+COUNTIFS(I4:I287,Z528,M4:M287,0)</f>
        <v>10</v>
      </c>
      <c r="AE528" s="19">
        <f>SUMIF(F4:F287,Z528,G4:G287)+SUMIF(I4:I287,Z528,H4:H287)</f>
        <v>34</v>
      </c>
      <c r="AF528" s="19">
        <f>SUMIF(F4:F287,Z528,H4:H287)+SUMIF(I4:I287,Z528,G4:G287)</f>
        <v>42</v>
      </c>
      <c r="AG528" s="19">
        <f t="shared" ref="AG528:AG542" si="349">+AE528-AF528</f>
        <v>-8</v>
      </c>
      <c r="AH528" s="19">
        <f>(AB528*3)+AC528</f>
        <v>34</v>
      </c>
      <c r="AI528" s="19">
        <f t="shared" si="347"/>
        <v>33999.953999999998</v>
      </c>
      <c r="AJ528" s="2"/>
      <c r="AW528" s="7"/>
    </row>
    <row r="529" spans="1:49" x14ac:dyDescent="0.25">
      <c r="A529" s="1"/>
      <c r="B529" s="1"/>
      <c r="C529" s="1"/>
      <c r="D529" s="64"/>
      <c r="E529" s="1"/>
      <c r="G529" s="1"/>
      <c r="H529" s="1"/>
      <c r="K529" s="64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2" t="str">
        <f t="shared" si="348"/>
        <v>Bayer Leverkusen</v>
      </c>
      <c r="W529" s="2">
        <f t="shared" si="345"/>
        <v>5</v>
      </c>
      <c r="Y529" s="19">
        <f>RANK(AI529,$AI$525:$AI$542,0)+COUNTIF($AI$524:AI528,AI529)</f>
        <v>5</v>
      </c>
      <c r="Z529" s="19" t="str">
        <f t="shared" si="346"/>
        <v>Bayer Leverkusen</v>
      </c>
      <c r="AA529" s="19">
        <f>COUNTIFS(F4:F287,Z529,G4:G287,"&gt;=0")+COUNTIFS(I4:I287,Z529,H4:H287,"&gt;=0")</f>
        <v>24</v>
      </c>
      <c r="AB529" s="19">
        <f>COUNTIFS(F4:F287,Z529,B4:B287,3)+COUNTIFS(I4:I287,Z529,M4:M287,3)</f>
        <v>13</v>
      </c>
      <c r="AC529" s="19">
        <f>COUNTIFS(F4:F287,Z529,B4:B287,1)+COUNTIFS(I4:I287,Z529,M4:M287,1)</f>
        <v>5</v>
      </c>
      <c r="AD529" s="19">
        <f>COUNTIFS(F4:F287,Z529,B4:B287,0)+COUNTIFS(I4:I287,Z529,M4:M287,0)</f>
        <v>6</v>
      </c>
      <c r="AE529" s="19">
        <f>SUMIF(F4:F287,Z529,G4:G287)+SUMIF(I4:I287,Z529,H4:H287)</f>
        <v>41</v>
      </c>
      <c r="AF529" s="19">
        <f>SUMIF(F4:F287,Z529,H4:H287)+SUMIF(I4:I287,Z529,G4:G287)</f>
        <v>30</v>
      </c>
      <c r="AG529" s="19">
        <f t="shared" si="349"/>
        <v>11</v>
      </c>
      <c r="AH529" s="19">
        <f>(AB529*3)+AC529</f>
        <v>44</v>
      </c>
      <c r="AI529" s="19">
        <f t="shared" si="347"/>
        <v>44000.150999999998</v>
      </c>
      <c r="AJ529" s="2"/>
      <c r="AW529" s="7"/>
    </row>
    <row r="530" spans="1:49" x14ac:dyDescent="0.25">
      <c r="A530" s="1"/>
      <c r="B530" s="1"/>
      <c r="C530" s="1"/>
      <c r="D530" s="64"/>
      <c r="E530" s="1"/>
      <c r="G530" s="1"/>
      <c r="H530" s="1"/>
      <c r="K530" s="64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2" t="str">
        <f t="shared" si="348"/>
        <v>Bayern München</v>
      </c>
      <c r="W530" s="2">
        <f t="shared" si="345"/>
        <v>1</v>
      </c>
      <c r="Y530" s="19">
        <f>RANK(AI530,$AI$525:$AI$542,0)+COUNTIF($AI$524:AI529,AI530)</f>
        <v>1</v>
      </c>
      <c r="Z530" s="19" t="str">
        <f t="shared" si="346"/>
        <v>Bayern München</v>
      </c>
      <c r="AA530" s="19">
        <f>COUNTIFS(F4:F287,Z530,G4:G287,"&gt;=0")+COUNTIFS(I4:I287,Z530,H4:H287,"&gt;=0")</f>
        <v>24</v>
      </c>
      <c r="AB530" s="19">
        <f>COUNTIFS(F4:F287,Z530,B4:B287,3)+COUNTIFS(I4:I287,Z530,M4:M287,3)</f>
        <v>16</v>
      </c>
      <c r="AC530" s="19">
        <f>COUNTIFS(F4:F287,Z530,B4:B287,1)+COUNTIFS(I4:I287,Z530,M4:M287,1)</f>
        <v>4</v>
      </c>
      <c r="AD530" s="19">
        <f>COUNTIFS(F4:F287,Z530,B4:B287,0)+COUNTIFS(I4:I287,Z530,M4:M287,0)</f>
        <v>4</v>
      </c>
      <c r="AE530" s="19">
        <f>SUMIF(F4:F287,Z530,G4:G287)+SUMIF(I4:I287,Z530,H4:H287)</f>
        <v>71</v>
      </c>
      <c r="AF530" s="19">
        <f>SUMIF(F4:F287,Z530,H4:H287)+SUMIF(I4:I287,Z530,G4:G287)</f>
        <v>26</v>
      </c>
      <c r="AG530" s="19">
        <f t="shared" si="349"/>
        <v>45</v>
      </c>
      <c r="AH530" s="19">
        <f t="shared" ref="AH530:AH542" si="350">(AB530*3)+AC530</f>
        <v>52</v>
      </c>
      <c r="AI530" s="19">
        <f t="shared" si="347"/>
        <v>52000.521000000001</v>
      </c>
      <c r="AJ530" s="2"/>
      <c r="AW530" s="7"/>
    </row>
    <row r="531" spans="1:49" x14ac:dyDescent="0.25">
      <c r="A531" s="1"/>
      <c r="B531" s="1"/>
      <c r="C531" s="1"/>
      <c r="D531" s="64"/>
      <c r="E531" s="1"/>
      <c r="G531" s="1"/>
      <c r="H531" s="1"/>
      <c r="K531" s="64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2" t="str">
        <f t="shared" si="348"/>
        <v>Bor. Mönchengladbach</v>
      </c>
      <c r="W531" s="2">
        <f t="shared" si="345"/>
        <v>4</v>
      </c>
      <c r="Y531" s="19">
        <f>RANK(AI531,$AI$525:$AI$542,0)+COUNTIF($AI$524:AI530,AI531)</f>
        <v>4</v>
      </c>
      <c r="Z531" s="19" t="str">
        <f t="shared" si="346"/>
        <v>Bor. Mönchengladbach</v>
      </c>
      <c r="AA531" s="19">
        <f>COUNTIFS(F4:F287,Z531,G4:G287,"&gt;=0")+COUNTIFS(I4:I287,Z531,H4:H287,"&gt;=0")</f>
        <v>23</v>
      </c>
      <c r="AB531" s="19">
        <f>COUNTIFS(F4:F287,Z531,B4:B287,3)+COUNTIFS(I4:I287,Z531,M4:M287,3)</f>
        <v>14</v>
      </c>
      <c r="AC531" s="19">
        <f>COUNTIFS(F4:F287,Z531,B4:B287,1)+COUNTIFS(I4:I287,Z531,M4:M287,1)</f>
        <v>4</v>
      </c>
      <c r="AD531" s="19">
        <f>COUNTIFS(F4:F287,Z531,B4:B287,0)+COUNTIFS(I4:I287,Z531,M4:M287,0)</f>
        <v>5</v>
      </c>
      <c r="AE531" s="19">
        <f>SUMIF(F4:F287,Z531,G4:G287)+SUMIF(I4:I287,Z531,H4:H287)</f>
        <v>46</v>
      </c>
      <c r="AF531" s="19">
        <f>SUMIF(F4:F287,Z531,H4:H287)+SUMIF(I4:I287,Z531,G4:G287)</f>
        <v>27</v>
      </c>
      <c r="AG531" s="19">
        <f t="shared" si="349"/>
        <v>19</v>
      </c>
      <c r="AH531" s="19">
        <f t="shared" si="350"/>
        <v>46</v>
      </c>
      <c r="AI531" s="19">
        <f t="shared" si="347"/>
        <v>46000.236000000004</v>
      </c>
      <c r="AW531" s="7"/>
    </row>
    <row r="532" spans="1:49" x14ac:dyDescent="0.25">
      <c r="A532" s="1"/>
      <c r="B532" s="1"/>
      <c r="C532" s="1"/>
      <c r="D532" s="64"/>
      <c r="E532" s="1"/>
      <c r="G532" s="1"/>
      <c r="H532" s="1"/>
      <c r="K532" s="64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2" t="str">
        <f t="shared" si="348"/>
        <v>Borussia Dortmund</v>
      </c>
      <c r="W532" s="2">
        <f t="shared" si="345"/>
        <v>3</v>
      </c>
      <c r="Y532" s="19">
        <f>RANK(AI532,$AI$525:$AI$542,0)+COUNTIF($AI$524:AI531,AI532)</f>
        <v>3</v>
      </c>
      <c r="Z532" s="19" t="str">
        <f t="shared" si="346"/>
        <v>Borussia Dortmund</v>
      </c>
      <c r="AA532" s="19">
        <f>COUNTIFS(F4:F287,Z532,G4:G287,"&gt;=0")+COUNTIFS(I4:I287,Z532,H4:H287,"&gt;=0")</f>
        <v>24</v>
      </c>
      <c r="AB532" s="19">
        <f>COUNTIFS(F4:F287,Z532,B4:B287,3)+COUNTIFS(I4:I287,Z532,M4:M287,3)</f>
        <v>14</v>
      </c>
      <c r="AC532" s="19">
        <f>COUNTIFS(F4:F287,Z532,B4:B287,1)+COUNTIFS(I4:I287,Z532,M4:M287,1)</f>
        <v>6</v>
      </c>
      <c r="AD532" s="19">
        <f>COUNTIFS(F4:F287,Z532,B4:B287,0)+COUNTIFS(I4:I287,Z532,M4:M287,0)</f>
        <v>4</v>
      </c>
      <c r="AE532" s="19">
        <f>SUMIF(F4:F287,Z532,G4:G287)+SUMIF(I4:I287,Z532,H4:H287)</f>
        <v>66</v>
      </c>
      <c r="AF532" s="19">
        <f>SUMIF(F4:F287,Z532,H4:H287)+SUMIF(I4:I287,Z532,G4:G287)</f>
        <v>32</v>
      </c>
      <c r="AG532" s="19">
        <f t="shared" si="349"/>
        <v>34</v>
      </c>
      <c r="AH532" s="19">
        <f t="shared" si="350"/>
        <v>48</v>
      </c>
      <c r="AI532" s="19">
        <f t="shared" si="347"/>
        <v>48000.405999999995</v>
      </c>
      <c r="AW532" s="7"/>
    </row>
    <row r="533" spans="1:49" x14ac:dyDescent="0.25">
      <c r="A533" s="1"/>
      <c r="B533" s="1"/>
      <c r="C533" s="1"/>
      <c r="D533" s="64"/>
      <c r="E533" s="1"/>
      <c r="G533" s="1"/>
      <c r="H533" s="1"/>
      <c r="K533" s="64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2" t="str">
        <f t="shared" si="348"/>
        <v>Eintracht Frankfurt</v>
      </c>
      <c r="W533" s="2">
        <f t="shared" si="345"/>
        <v>12</v>
      </c>
      <c r="Y533" s="19">
        <f>RANK(AI533,$AI$525:$AI$542,0)+COUNTIF($AI$524:AI532,AI533)</f>
        <v>12</v>
      </c>
      <c r="Z533" s="19" t="str">
        <f t="shared" si="346"/>
        <v>Eintracht Frankfurt</v>
      </c>
      <c r="AA533" s="19">
        <f>COUNTIFS(F4:F287,Z533,G4:G287,"&gt;=0")+COUNTIFS(I4:I287,Z533,H4:H287,"&gt;=0")</f>
        <v>23</v>
      </c>
      <c r="AB533" s="19">
        <f>COUNTIFS(F4:F287,Z533,B4:B287,3)+COUNTIFS(I4:I287,Z533,M4:M287,3)</f>
        <v>8</v>
      </c>
      <c r="AC533" s="19">
        <f>COUNTIFS(F4:F287,Z533,B4:B287,1)+COUNTIFS(I4:I287,Z533,M4:M287,1)</f>
        <v>4</v>
      </c>
      <c r="AD533" s="19">
        <f>COUNTIFS(F4:F287,Z533,B4:B287,0)+COUNTIFS(I4:I287,Z533,M4:M287,0)</f>
        <v>11</v>
      </c>
      <c r="AE533" s="19">
        <f>SUMIF(F4:F287,Z533,G4:G287)+SUMIF(I4:I287,Z533,H4:H287)</f>
        <v>38</v>
      </c>
      <c r="AF533" s="19">
        <f>SUMIF(F4:F287,Z533,H4:H287)+SUMIF(I4:I287,Z533,G4:G287)</f>
        <v>37</v>
      </c>
      <c r="AG533" s="19">
        <f t="shared" si="349"/>
        <v>1</v>
      </c>
      <c r="AH533" s="19">
        <f t="shared" si="350"/>
        <v>28</v>
      </c>
      <c r="AI533" s="19">
        <f t="shared" si="347"/>
        <v>28000.047999999999</v>
      </c>
      <c r="AJ533" s="2"/>
      <c r="AW533" s="7"/>
    </row>
    <row r="534" spans="1:49" x14ac:dyDescent="0.25">
      <c r="A534" s="1"/>
      <c r="B534" s="1"/>
      <c r="C534" s="1"/>
      <c r="D534" s="64"/>
      <c r="E534" s="1"/>
      <c r="G534" s="1"/>
      <c r="H534" s="1"/>
      <c r="K534" s="64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2" t="str">
        <f t="shared" si="348"/>
        <v>FC Augsburg</v>
      </c>
      <c r="W534" s="2">
        <f t="shared" si="345"/>
        <v>13</v>
      </c>
      <c r="Y534" s="19">
        <f>RANK(AI534,$AI$525:$AI$542,0)+COUNTIF($AI$524:AI533,AI534)</f>
        <v>13</v>
      </c>
      <c r="Z534" s="19" t="str">
        <f t="shared" si="346"/>
        <v>FC Augsburg</v>
      </c>
      <c r="AA534" s="19">
        <f>COUNTIFS(F4:F287,Z534,G4:G287,"&gt;=0")+COUNTIFS(I4:I287,Z534,H4:H287,"&gt;=0")</f>
        <v>24</v>
      </c>
      <c r="AB534" s="19">
        <f>COUNTIFS(F4:F287,Z534,B4:B287,3)+COUNTIFS(I4:I287,Z534,M4:M287,3)</f>
        <v>7</v>
      </c>
      <c r="AC534" s="19">
        <f>COUNTIFS(F4:F287,Z534,B4:B287,1)+COUNTIFS(I4:I287,Z534,M4:M287,1)</f>
        <v>6</v>
      </c>
      <c r="AD534" s="19">
        <f>COUNTIFS(F4:F287,Z534,B4:B287,0)+COUNTIFS(I4:I287,Z534,M4:M287,0)</f>
        <v>11</v>
      </c>
      <c r="AE534" s="19">
        <f>SUMIF(F4:F287,Z534,G4:G287)+SUMIF(I4:I287,Z534,H4:H287)</f>
        <v>36</v>
      </c>
      <c r="AF534" s="19">
        <f>SUMIF(F4:F287,Z534,H4:H287)+SUMIF(I4:I287,Z534,G4:G287)</f>
        <v>50</v>
      </c>
      <c r="AG534" s="19">
        <f t="shared" si="349"/>
        <v>-14</v>
      </c>
      <c r="AH534" s="19">
        <f t="shared" si="350"/>
        <v>27</v>
      </c>
      <c r="AI534" s="19">
        <f t="shared" si="347"/>
        <v>26999.896000000001</v>
      </c>
      <c r="AJ534" s="2"/>
      <c r="AW534" s="7"/>
    </row>
    <row r="535" spans="1:49" x14ac:dyDescent="0.25">
      <c r="A535" s="1"/>
      <c r="B535" s="1"/>
      <c r="C535" s="1"/>
      <c r="D535" s="64"/>
      <c r="E535" s="1"/>
      <c r="G535" s="1"/>
      <c r="H535" s="1"/>
      <c r="K535" s="64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2" t="str">
        <f t="shared" si="348"/>
        <v>FC Schalke 04</v>
      </c>
      <c r="W535" s="2">
        <f t="shared" si="345"/>
        <v>6</v>
      </c>
      <c r="Y535" s="19">
        <f>RANK(AI535,$AI$525:$AI$542,0)+COUNTIF($AI$524:AI534,AI535)</f>
        <v>6</v>
      </c>
      <c r="Z535" s="19" t="str">
        <f t="shared" si="346"/>
        <v>FC Schalke 04</v>
      </c>
      <c r="AA535" s="19">
        <f>COUNTIFS(F4:F287,Z535,G4:G287,"&gt;=0")+COUNTIFS(I4:I287,Z535,H4:H287,"&gt;=0")</f>
        <v>24</v>
      </c>
      <c r="AB535" s="19">
        <f>COUNTIFS(F4:F287,Z535,B4:B287,3)+COUNTIFS(I4:I287,Z535,M4:M287,3)</f>
        <v>9</v>
      </c>
      <c r="AC535" s="19">
        <f>COUNTIFS(F4:F287,Z535,B4:B287,1)+COUNTIFS(I4:I287,Z535,M4:M287,1)</f>
        <v>9</v>
      </c>
      <c r="AD535" s="19">
        <f>COUNTIFS(F4:F287,Z535,B4:B287,0)+COUNTIFS(I4:I287,Z535,M4:M287,0)</f>
        <v>6</v>
      </c>
      <c r="AE535" s="19">
        <f>SUMIF(F4:F287,Z535,G4:G287)+SUMIF(I4:I287,Z535,H4:H287)</f>
        <v>32</v>
      </c>
      <c r="AF535" s="19">
        <f>SUMIF(F4:F287,Z535,H4:H287)+SUMIF(I4:I287,Z535,G4:G287)</f>
        <v>35</v>
      </c>
      <c r="AG535" s="19">
        <f t="shared" si="349"/>
        <v>-3</v>
      </c>
      <c r="AH535" s="19">
        <f t="shared" si="350"/>
        <v>36</v>
      </c>
      <c r="AI535" s="19">
        <f t="shared" si="347"/>
        <v>36000.002</v>
      </c>
      <c r="AJ535" s="2"/>
      <c r="AW535" s="7"/>
    </row>
    <row r="536" spans="1:49" x14ac:dyDescent="0.25">
      <c r="A536" s="1"/>
      <c r="B536" s="1"/>
      <c r="C536" s="1"/>
      <c r="D536" s="64"/>
      <c r="E536" s="1"/>
      <c r="G536" s="1"/>
      <c r="H536" s="1"/>
      <c r="K536" s="64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2" t="str">
        <f t="shared" si="348"/>
        <v>Fortuna Düsseldorf</v>
      </c>
      <c r="W536" s="2">
        <f t="shared" si="345"/>
        <v>16</v>
      </c>
      <c r="Y536" s="19">
        <f>RANK(AI536,$AI$525:$AI$542,0)+COUNTIF($AI$524:AI535,AI536)</f>
        <v>16</v>
      </c>
      <c r="Z536" s="19" t="str">
        <f t="shared" si="346"/>
        <v>Fortuna Düsseldorf</v>
      </c>
      <c r="AA536" s="19">
        <f>COUNTIFS(F4:F287,Z536,G4:G287,"&gt;=0")+COUNTIFS(I4:I287,Z536,H4:H287,"&gt;=0")</f>
        <v>24</v>
      </c>
      <c r="AB536" s="19">
        <f>COUNTIFS(F4:F287,Z536,B4:B287,3)+COUNTIFS(I4:I287,Z536,M4:M287,3)</f>
        <v>5</v>
      </c>
      <c r="AC536" s="19">
        <f>COUNTIFS(F4:F287,Z536,B4:B287,1)+COUNTIFS(I4:I287,Z536,M4:M287,1)</f>
        <v>6</v>
      </c>
      <c r="AD536" s="19">
        <f>COUNTIFS(F4:F287,Z536,B4:B287,0)+COUNTIFS(I4:I287,Z536,M4:M287,0)</f>
        <v>13</v>
      </c>
      <c r="AE536" s="19">
        <f>SUMIF(F4:F287,Z536,G4:G287)+SUMIF(I4:I287,Z536,H4:H287)</f>
        <v>26</v>
      </c>
      <c r="AF536" s="19">
        <f>SUMIF(F4:F287,Z536,H4:H287)+SUMIF(I4:I287,Z536,G4:G287)</f>
        <v>49</v>
      </c>
      <c r="AG536" s="19">
        <f t="shared" si="349"/>
        <v>-23</v>
      </c>
      <c r="AH536" s="19">
        <f t="shared" si="350"/>
        <v>21</v>
      </c>
      <c r="AI536" s="19">
        <f t="shared" si="347"/>
        <v>20999.796000000002</v>
      </c>
      <c r="AJ536" s="2"/>
      <c r="AW536" s="7"/>
    </row>
    <row r="537" spans="1:49" x14ac:dyDescent="0.25">
      <c r="A537" s="1"/>
      <c r="B537" s="1"/>
      <c r="C537" s="1"/>
      <c r="D537" s="64"/>
      <c r="E537" s="1"/>
      <c r="G537" s="1"/>
      <c r="H537" s="1"/>
      <c r="K537" s="64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2" t="str">
        <f t="shared" si="348"/>
        <v>Hertha BSC</v>
      </c>
      <c r="W537" s="2">
        <f t="shared" si="345"/>
        <v>14</v>
      </c>
      <c r="Y537" s="19">
        <f>RANK(AI537,$AI$525:$AI$542,0)+COUNTIF($AI$524:AI536,AI537)</f>
        <v>14</v>
      </c>
      <c r="Z537" s="19" t="str">
        <f t="shared" si="346"/>
        <v>Hertha BSC</v>
      </c>
      <c r="AA537" s="19">
        <f>COUNTIFS(F4:F287,Z537,G4:G287,"&gt;=0")+COUNTIFS(I4:I287,Z537,H4:H287,"&gt;=0")</f>
        <v>24</v>
      </c>
      <c r="AB537" s="19">
        <f>COUNTIFS(F4:F287,Z537,B4:B287,3)+COUNTIFS(I4:I287,Z537,M4:M287,3)</f>
        <v>7</v>
      </c>
      <c r="AC537" s="19">
        <f>COUNTIFS(F4:F287,Z537,B4:B287,1)+COUNTIFS(I4:I287,Z537,M4:M287,1)</f>
        <v>6</v>
      </c>
      <c r="AD537" s="19">
        <f>COUNTIFS(F4:F287,Z537,B4:B287,0)+COUNTIFS(I4:I287,Z537,M4:M287,0)</f>
        <v>11</v>
      </c>
      <c r="AE537" s="19">
        <f>SUMIF(F4:F287,Z537,G4:G287)+SUMIF(I4:I287,Z537,H4:H287)</f>
        <v>30</v>
      </c>
      <c r="AF537" s="19">
        <f>SUMIF(F4:F287,Z537,H4:H287)+SUMIF(I4:I287,Z537,G4:G287)</f>
        <v>46</v>
      </c>
      <c r="AG537" s="19">
        <f t="shared" si="349"/>
        <v>-16</v>
      </c>
      <c r="AH537" s="19">
        <f t="shared" si="350"/>
        <v>27</v>
      </c>
      <c r="AI537" s="19">
        <f t="shared" si="347"/>
        <v>26999.87</v>
      </c>
      <c r="AJ537" s="2"/>
      <c r="AW537" s="7"/>
    </row>
    <row r="538" spans="1:49" x14ac:dyDescent="0.25">
      <c r="A538" s="1"/>
      <c r="B538" s="1"/>
      <c r="C538" s="1"/>
      <c r="D538" s="64"/>
      <c r="E538" s="1"/>
      <c r="G538" s="1"/>
      <c r="H538" s="1"/>
      <c r="K538" s="64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2" t="str">
        <f t="shared" si="348"/>
        <v>RB Leipzig</v>
      </c>
      <c r="W538" s="2">
        <f t="shared" si="345"/>
        <v>2</v>
      </c>
      <c r="Y538" s="19">
        <f>RANK(AI538,$AI$525:$AI$542,0)+COUNTIF($AI$524:AI537,AI538)</f>
        <v>2</v>
      </c>
      <c r="Z538" s="19" t="str">
        <f t="shared" si="346"/>
        <v>RB Leipzig</v>
      </c>
      <c r="AA538" s="19">
        <f>COUNTIFS(F4:F287,Z538,G4:G287,"&gt;=0")+COUNTIFS(I4:I287,Z538,H4:H287,"&gt;=0")</f>
        <v>24</v>
      </c>
      <c r="AB538" s="19">
        <f>COUNTIFS(F4:F287,Z538,B4:B287,3)+COUNTIFS(I4:I287,Z538,M4:M287,3)</f>
        <v>14</v>
      </c>
      <c r="AC538" s="19">
        <f>COUNTIFS(F4:F287,Z538,B4:B287,1)+COUNTIFS(I4:I287,Z538,M4:M287,1)</f>
        <v>7</v>
      </c>
      <c r="AD538" s="19">
        <f>COUNTIFS(F4:F287,Z538,B4:B287,0)+COUNTIFS(I4:I287,Z538,M4:M287,0)</f>
        <v>3</v>
      </c>
      <c r="AE538" s="19">
        <f>SUMIF(F4:F287,Z538,G4:G287)+SUMIF(I4:I287,Z538,H4:H287)</f>
        <v>62</v>
      </c>
      <c r="AF538" s="19">
        <f>SUMIF(F4:F287,Z538,H4:H287)+SUMIF(I4:I287,Z538,G4:G287)</f>
        <v>26</v>
      </c>
      <c r="AG538" s="19">
        <f t="shared" si="349"/>
        <v>36</v>
      </c>
      <c r="AH538" s="19">
        <f t="shared" si="350"/>
        <v>49</v>
      </c>
      <c r="AI538" s="19">
        <f t="shared" si="347"/>
        <v>49000.421999999999</v>
      </c>
      <c r="AJ538" s="2"/>
      <c r="AW538" s="7"/>
    </row>
    <row r="539" spans="1:49" x14ac:dyDescent="0.25">
      <c r="A539" s="1"/>
      <c r="B539" s="1"/>
      <c r="C539" s="1"/>
      <c r="D539" s="64"/>
      <c r="E539" s="1"/>
      <c r="G539" s="1"/>
      <c r="H539" s="1"/>
      <c r="K539" s="64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2" t="str">
        <f t="shared" si="348"/>
        <v>SC Freiburg</v>
      </c>
      <c r="W539" s="2">
        <f t="shared" si="345"/>
        <v>9</v>
      </c>
      <c r="Y539" s="19">
        <f>RANK(AI539,$AI$525:$AI$542,0)+COUNTIF($AI$524:AI538,AI539)</f>
        <v>9</v>
      </c>
      <c r="Z539" s="19" t="str">
        <f t="shared" si="346"/>
        <v>SC Freiburg</v>
      </c>
      <c r="AA539" s="19">
        <f>COUNTIFS(F4:F287,Z539,G4:G287,"&gt;=0")+COUNTIFS(I4:I287,Z539,H4:H287,"&gt;=0")</f>
        <v>24</v>
      </c>
      <c r="AB539" s="19">
        <f>COUNTIFS(F4:F287,Z539,B4:B287,3)+COUNTIFS(I4:I287,Z539,M4:M287,3)</f>
        <v>9</v>
      </c>
      <c r="AC539" s="19">
        <f>COUNTIFS(F4:F287,Z539,B4:B287,1)+COUNTIFS(I4:I287,Z539,M4:M287,1)</f>
        <v>6</v>
      </c>
      <c r="AD539" s="19">
        <f>COUNTIFS(F4:F287,Z539,B4:B287,0)+COUNTIFS(I4:I287,Z539,M4:M287,0)</f>
        <v>9</v>
      </c>
      <c r="AE539" s="19">
        <f>SUMIF(F4:F287,Z539,G4:G287)+SUMIF(I4:I287,Z539,H4:H287)</f>
        <v>31</v>
      </c>
      <c r="AF539" s="19">
        <f>SUMIF(F4:F287,Z539,H4:H287)+SUMIF(I4:I287,Z539,G4:G287)</f>
        <v>34</v>
      </c>
      <c r="AG539" s="19">
        <f t="shared" si="349"/>
        <v>-3</v>
      </c>
      <c r="AH539" s="19">
        <f t="shared" si="350"/>
        <v>33</v>
      </c>
      <c r="AI539" s="19">
        <f t="shared" si="347"/>
        <v>33000.001000000004</v>
      </c>
      <c r="AJ539" s="2"/>
      <c r="AW539" s="7"/>
    </row>
    <row r="540" spans="1:49" x14ac:dyDescent="0.25">
      <c r="A540" s="1"/>
      <c r="B540" s="1"/>
      <c r="C540" s="1"/>
      <c r="D540" s="64"/>
      <c r="E540" s="1"/>
      <c r="G540" s="1"/>
      <c r="H540" s="1"/>
      <c r="K540" s="64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2" t="str">
        <f t="shared" si="348"/>
        <v>SC Paderborn 07</v>
      </c>
      <c r="W540" s="2">
        <f t="shared" si="345"/>
        <v>18</v>
      </c>
      <c r="Y540" s="19">
        <f>RANK(AI540,$AI$525:$AI$542,0)+COUNTIF($AI$524:AI539,AI540)</f>
        <v>18</v>
      </c>
      <c r="Z540" s="19" t="str">
        <f t="shared" si="346"/>
        <v>SC Paderborn 07</v>
      </c>
      <c r="AA540" s="19">
        <f>COUNTIFS(F4:F287,Z540,G4:G287,"&gt;=0")+COUNTIFS(I4:I287,Z540,H4:H287,"&gt;=0")</f>
        <v>24</v>
      </c>
      <c r="AB540" s="19">
        <f>COUNTIFS(F4:F287,Z540,B4:B287,3)+COUNTIFS(I4:I287,Z540,M4:M287,3)</f>
        <v>4</v>
      </c>
      <c r="AC540" s="19">
        <f>COUNTIFS(F4:F287,Z540,B4:B287,1)+COUNTIFS(I4:I287,Z540,M4:M287,1)</f>
        <v>4</v>
      </c>
      <c r="AD540" s="19">
        <f>COUNTIFS(F4:F287,Z540,B4:B287,0)+COUNTIFS(I4:I287,Z540,M4:M287,0)</f>
        <v>16</v>
      </c>
      <c r="AE540" s="19">
        <f>SUMIF(F4:F287,Z540,G4:G287)+SUMIF(I4:I287,Z540,H4:H287)</f>
        <v>29</v>
      </c>
      <c r="AF540" s="19">
        <f>SUMIF(F4:F287,Z540,H4:H287)+SUMIF(I4:I287,Z540,G4:G287)</f>
        <v>52</v>
      </c>
      <c r="AG540" s="19">
        <f t="shared" si="349"/>
        <v>-23</v>
      </c>
      <c r="AH540" s="19">
        <f t="shared" si="350"/>
        <v>16</v>
      </c>
      <c r="AI540" s="19">
        <f t="shared" si="347"/>
        <v>15999.799000000001</v>
      </c>
      <c r="AJ540" s="2"/>
      <c r="AW540" s="7"/>
    </row>
    <row r="541" spans="1:49" x14ac:dyDescent="0.25">
      <c r="A541" s="1"/>
      <c r="B541" s="1"/>
      <c r="C541" s="1"/>
      <c r="D541" s="64"/>
      <c r="E541" s="1"/>
      <c r="G541" s="1"/>
      <c r="H541" s="1"/>
      <c r="K541" s="64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2" t="str">
        <f t="shared" si="348"/>
        <v>VfL Wolfsburg</v>
      </c>
      <c r="W541" s="2">
        <f t="shared" si="345"/>
        <v>7</v>
      </c>
      <c r="Y541" s="19">
        <f>RANK(AI541,$AI$525:$AI$542,0)+COUNTIF($AI$524:AI540,AI541)</f>
        <v>7</v>
      </c>
      <c r="Z541" s="19" t="str">
        <f t="shared" si="346"/>
        <v>VfL Wolfsburg</v>
      </c>
      <c r="AA541" s="19">
        <f>COUNTIFS(F4:F287,Z541,G4:G287,"&gt;=0")+COUNTIFS(I4:I287,Z541,H4:H287,"&gt;=0")</f>
        <v>24</v>
      </c>
      <c r="AB541" s="19">
        <f>COUNTIFS(F4:F287,Z541,B4:B287,3)+COUNTIFS(I4:I287,Z541,M4:M287,3)</f>
        <v>9</v>
      </c>
      <c r="AC541" s="19">
        <f>COUNTIFS(F4:F287,Z541,B4:B287,1)+COUNTIFS(I4:I287,Z541,M4:M287,1)</f>
        <v>8</v>
      </c>
      <c r="AD541" s="19">
        <f>COUNTIFS(F4:F287,Z541,B4:B287,0)+COUNTIFS(I4:I287,Z541,M4:M287,0)</f>
        <v>7</v>
      </c>
      <c r="AE541" s="19">
        <f>SUMIF(F4:F287,Z541,G4:G287)+SUMIF(I4:I287,Z541,H4:H287)</f>
        <v>34</v>
      </c>
      <c r="AF541" s="19">
        <f>SUMIF(F4:F287,Z541,H4:H287)+SUMIF(I4:I287,Z541,G4:G287)</f>
        <v>30</v>
      </c>
      <c r="AG541" s="19">
        <f t="shared" si="349"/>
        <v>4</v>
      </c>
      <c r="AH541" s="19">
        <f t="shared" si="350"/>
        <v>35</v>
      </c>
      <c r="AI541" s="19">
        <f t="shared" si="347"/>
        <v>35000.074000000001</v>
      </c>
      <c r="AJ541" s="2"/>
      <c r="AW541" s="7"/>
    </row>
    <row r="542" spans="1:49" x14ac:dyDescent="0.25">
      <c r="A542" s="1"/>
      <c r="B542" s="1"/>
      <c r="C542" s="1"/>
      <c r="D542" s="64"/>
      <c r="E542" s="1"/>
      <c r="G542" s="1"/>
      <c r="H542" s="1"/>
      <c r="K542" s="64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2" t="str">
        <f t="shared" si="348"/>
        <v>Werder Bremen</v>
      </c>
      <c r="W542" s="2">
        <f t="shared" si="345"/>
        <v>17</v>
      </c>
      <c r="Y542" s="19">
        <f>RANK(AI542,$AI$525:$AI$542,0)+COUNTIF($AI$524:AI541,AI542)</f>
        <v>17</v>
      </c>
      <c r="Z542" s="19" t="str">
        <f t="shared" si="346"/>
        <v>Werder Bremen</v>
      </c>
      <c r="AA542" s="19">
        <f>COUNTIFS(F4:F287,Z542,G4:G287,"&gt;=0")+COUNTIFS(I4:I287,Z542,H4:H287,"&gt;=0")</f>
        <v>23</v>
      </c>
      <c r="AB542" s="19">
        <f>COUNTIFS(F4:F287,Z542,B4:B287,3)+COUNTIFS(I4:I287,Z542,M4:M287,3)</f>
        <v>4</v>
      </c>
      <c r="AC542" s="19">
        <f>COUNTIFS(F4:F287,Z542,B4:B287,1)+COUNTIFS(I4:I287,Z542,M4:M287,1)</f>
        <v>5</v>
      </c>
      <c r="AD542" s="19">
        <f>COUNTIFS(F4:F287,Z542,B4:B287,0)+COUNTIFS(I4:I287,Z542,M4:M287,0)</f>
        <v>14</v>
      </c>
      <c r="AE542" s="19">
        <f>SUMIF(F4:F287,Z542,G4:G287)+SUMIF(I4:I287,Z542,H4:H287)</f>
        <v>25</v>
      </c>
      <c r="AF542" s="19">
        <f>SUMIF(F4:F287,Z542,H4:H287)+SUMIF(I4:I287,Z542,G4:G287)</f>
        <v>53</v>
      </c>
      <c r="AG542" s="19">
        <f t="shared" si="349"/>
        <v>-28</v>
      </c>
      <c r="AH542" s="19">
        <f t="shared" si="350"/>
        <v>17</v>
      </c>
      <c r="AI542" s="19">
        <f t="shared" si="347"/>
        <v>16999.745000000003</v>
      </c>
      <c r="AJ542" s="2"/>
      <c r="AW542" s="7"/>
    </row>
    <row r="543" spans="1:49" x14ac:dyDescent="0.25">
      <c r="A543" s="1"/>
      <c r="B543" s="1"/>
      <c r="C543" s="1"/>
      <c r="D543" s="64"/>
      <c r="E543" s="1"/>
      <c r="G543" s="1"/>
      <c r="H543" s="1"/>
      <c r="K543" s="64"/>
      <c r="L543" s="1"/>
      <c r="M543" s="1"/>
      <c r="N543" s="1"/>
      <c r="O543" s="1"/>
      <c r="P543" s="1"/>
      <c r="Q543" s="1"/>
      <c r="R543" s="1"/>
      <c r="S543" s="1"/>
      <c r="T543" s="1"/>
      <c r="U543" s="1"/>
      <c r="AJ543" s="2"/>
      <c r="AW543" s="7"/>
    </row>
    <row r="544" spans="1:49" x14ac:dyDescent="0.25">
      <c r="A544" s="1"/>
      <c r="B544" s="1"/>
      <c r="C544" s="1"/>
      <c r="D544" s="64"/>
      <c r="E544" s="1"/>
      <c r="G544" s="1"/>
      <c r="H544" s="1"/>
      <c r="K544" s="64"/>
      <c r="L544" s="1"/>
      <c r="M544" s="1"/>
      <c r="N544" s="1"/>
      <c r="O544" s="1"/>
      <c r="P544" s="1"/>
      <c r="Q544" s="1"/>
      <c r="R544" s="1"/>
      <c r="S544" s="1"/>
      <c r="T544" s="1"/>
      <c r="U544" s="1"/>
      <c r="W544" s="18">
        <v>27</v>
      </c>
      <c r="Y544" s="19"/>
      <c r="Z544" s="19" t="s">
        <v>1</v>
      </c>
      <c r="AA544" s="19" t="s">
        <v>2</v>
      </c>
      <c r="AB544" s="19" t="s">
        <v>3</v>
      </c>
      <c r="AC544" s="19" t="s">
        <v>4</v>
      </c>
      <c r="AD544" s="19" t="s">
        <v>5</v>
      </c>
      <c r="AE544" s="19" t="s">
        <v>6</v>
      </c>
      <c r="AF544" s="19" t="s">
        <v>7</v>
      </c>
      <c r="AG544" s="19" t="s">
        <v>8</v>
      </c>
      <c r="AH544" s="19" t="s">
        <v>9</v>
      </c>
      <c r="AI544" s="19" t="s">
        <v>0</v>
      </c>
      <c r="AJ544" s="2"/>
      <c r="AW544" s="7"/>
    </row>
    <row r="545" spans="1:49" x14ac:dyDescent="0.25">
      <c r="A545" s="1"/>
      <c r="B545" s="1"/>
      <c r="C545" s="1"/>
      <c r="D545" s="64"/>
      <c r="E545" s="1"/>
      <c r="G545" s="1"/>
      <c r="H545" s="1"/>
      <c r="K545" s="64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2" t="str">
        <f>CONCATENATE(Z545)</f>
        <v>1. FC Köln</v>
      </c>
      <c r="W545" s="2">
        <f t="shared" ref="W545:W562" si="351">Y545</f>
        <v>11</v>
      </c>
      <c r="Y545" s="19">
        <f>RANK(AI545,$AI$545:$AI$562,0)+COUNTIF($AI$544:AI544,AI545)</f>
        <v>11</v>
      </c>
      <c r="Z545" s="19" t="str">
        <f t="shared" ref="Z545:Z562" si="352">CONCATENATE(Z5)</f>
        <v>1. FC Köln</v>
      </c>
      <c r="AA545" s="19">
        <f>COUNTIFS(F4:F298,Z545,G4:G298,"&gt;=0")+COUNTIFS(I4:I298,Z545,H4:H298,"&gt;=0")</f>
        <v>23</v>
      </c>
      <c r="AB545" s="19">
        <f>COUNTIFS(F4:F298,Z545,B4:B298,3)+COUNTIFS(I4:I298,Z545,M4:M298,3)</f>
        <v>9</v>
      </c>
      <c r="AC545" s="19">
        <f>COUNTIFS(F4:F298,Z545,B4:B298,1)+COUNTIFS(I4:I298,Z545,M4:M298,1)</f>
        <v>2</v>
      </c>
      <c r="AD545" s="19">
        <f>COUNTIFS(F4:F298,Z545,B4:B298,0)+COUNTIFS(I4:I298,Z545,M4:M298,0)</f>
        <v>12</v>
      </c>
      <c r="AE545" s="19">
        <f>SUMIF(F4:F298,Z545,G4:G298)+SUMIF(I4:I298,Z545,H4:H298)</f>
        <v>36</v>
      </c>
      <c r="AF545" s="19">
        <f>SUMIF(F4:F298,Z545,H4:H298)+SUMIF(I4:I298,Z545,G4:G298)</f>
        <v>42</v>
      </c>
      <c r="AG545" s="19">
        <f>+AE545-AF545</f>
        <v>-6</v>
      </c>
      <c r="AH545" s="19">
        <f>(AB545*3)+AC545</f>
        <v>29</v>
      </c>
      <c r="AI545" s="19">
        <f>SUM(AH545*1000+(AG545)/100+(AE545)/1000)</f>
        <v>28999.975999999999</v>
      </c>
      <c r="AJ545" s="2"/>
      <c r="AW545" s="7"/>
    </row>
    <row r="546" spans="1:49" x14ac:dyDescent="0.25">
      <c r="A546" s="1"/>
      <c r="B546" s="1"/>
      <c r="C546" s="1"/>
      <c r="D546" s="64"/>
      <c r="E546" s="1"/>
      <c r="G546" s="1"/>
      <c r="H546" s="1"/>
      <c r="K546" s="64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2" t="str">
        <f>CONCATENATE(Z546)</f>
        <v>1. FC Union Berlin</v>
      </c>
      <c r="W546" s="2">
        <f t="shared" si="351"/>
        <v>10</v>
      </c>
      <c r="Y546" s="19">
        <f>RANK(AI546,$AI$545:$AI$562,0)+COUNTIF($AI$544:AI545,AI546)</f>
        <v>10</v>
      </c>
      <c r="Z546" s="19" t="str">
        <f t="shared" si="352"/>
        <v>1. FC Union Berlin</v>
      </c>
      <c r="AA546" s="19">
        <f>COUNTIFS(F4:F298,Z546,G4:G298,"&gt;=0")+COUNTIFS(I4:I298,Z546,H4:H298,"&gt;=0")</f>
        <v>24</v>
      </c>
      <c r="AB546" s="19">
        <f>COUNTIFS(F4:F298,Z546,B4:B298,3)+COUNTIFS(I4:I298,Z546,M4:M298,3)</f>
        <v>9</v>
      </c>
      <c r="AC546" s="19">
        <f>COUNTIFS(F4:F298,Z546,B4:B298,1)+COUNTIFS(I4:I298,Z546,M4:M298,1)</f>
        <v>3</v>
      </c>
      <c r="AD546" s="19">
        <f>COUNTIFS(F4:F298,Z546,B4:B298,0)+COUNTIFS(I4:I298,Z546,M4:M298,0)</f>
        <v>12</v>
      </c>
      <c r="AE546" s="19">
        <f>SUMIF(F4:F298,Z546,G4:G298)+SUMIF(I4:I298,Z546,H4:H298)</f>
        <v>31</v>
      </c>
      <c r="AF546" s="19">
        <f>SUMIF(F4:F298,Z546,H4:H298)+SUMIF(I4:I298,Z546,G4:G298)</f>
        <v>38</v>
      </c>
      <c r="AG546" s="19">
        <f>+AE546-AF546</f>
        <v>-7</v>
      </c>
      <c r="AH546" s="19">
        <f>(AB546*3)+AC546</f>
        <v>30</v>
      </c>
      <c r="AI546" s="19">
        <f t="shared" ref="AI546:AI562" si="353">SUM(AH546*1000+(AG546)/100+(AE546)/1000)</f>
        <v>29999.960999999999</v>
      </c>
      <c r="AJ546" s="2"/>
      <c r="AW546" s="7"/>
    </row>
    <row r="547" spans="1:49" x14ac:dyDescent="0.25">
      <c r="A547" s="1"/>
      <c r="B547" s="1"/>
      <c r="C547" s="1"/>
      <c r="D547" s="64"/>
      <c r="E547" s="1"/>
      <c r="G547" s="1"/>
      <c r="H547" s="1"/>
      <c r="K547" s="64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2" t="str">
        <f t="shared" ref="V547:V562" si="354">CONCATENATE(Z547)</f>
        <v>1. FSV Mainz 05</v>
      </c>
      <c r="W547" s="2">
        <f t="shared" si="351"/>
        <v>15</v>
      </c>
      <c r="Y547" s="19">
        <f>RANK(AI547,$AI$545:$AI$562,0)+COUNTIF($AI$544:AI546,AI547)</f>
        <v>15</v>
      </c>
      <c r="Z547" s="19" t="str">
        <f t="shared" si="352"/>
        <v>1. FSV Mainz 05</v>
      </c>
      <c r="AA547" s="19">
        <f>COUNTIFS(F4:F298,Z547,G4:G298,"&gt;=0")+COUNTIFS(I4:I298,Z547,H4:H298,"&gt;=0")</f>
        <v>24</v>
      </c>
      <c r="AB547" s="19">
        <f>COUNTIFS(F4:F298,Z547,B4:B298,3)+COUNTIFS(I4:I298,Z547,M4:M298,3)</f>
        <v>8</v>
      </c>
      <c r="AC547" s="19">
        <f>COUNTIFS(F4:F298,Z547,B4:B298,1)+COUNTIFS(I4:I298,Z547,M4:M298,1)</f>
        <v>1</v>
      </c>
      <c r="AD547" s="19">
        <f>COUNTIFS(F4:F298,Z547,B4:B298,0)+COUNTIFS(I4:I298,Z547,M4:M298,0)</f>
        <v>15</v>
      </c>
      <c r="AE547" s="19">
        <f>SUMIF(F4:F298,Z547,G4:G298)+SUMIF(I4:I298,Z547,H4:H298)</f>
        <v>33</v>
      </c>
      <c r="AF547" s="19">
        <f>SUMIF(F4:F298,Z547,H4:H298)+SUMIF(I4:I298,Z547,G4:G298)</f>
        <v>52</v>
      </c>
      <c r="AG547" s="19">
        <f>+AE547-AF547</f>
        <v>-19</v>
      </c>
      <c r="AH547" s="19">
        <f>(AB547*3)+AC547</f>
        <v>25</v>
      </c>
      <c r="AI547" s="19">
        <f t="shared" si="353"/>
        <v>24999.843000000001</v>
      </c>
      <c r="AJ547" s="2"/>
      <c r="AW547" s="7"/>
    </row>
    <row r="548" spans="1:49" x14ac:dyDescent="0.25">
      <c r="A548" s="1"/>
      <c r="B548" s="1"/>
      <c r="C548" s="1"/>
      <c r="D548" s="64"/>
      <c r="E548" s="1"/>
      <c r="G548" s="1"/>
      <c r="H548" s="1"/>
      <c r="K548" s="64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2" t="str">
        <f t="shared" si="354"/>
        <v>1899 Hoffenheim</v>
      </c>
      <c r="W548" s="2">
        <f t="shared" si="351"/>
        <v>8</v>
      </c>
      <c r="Y548" s="19">
        <f>RANK(AI548,$AI$545:$AI$562,0)+COUNTIF($AI$544:AI547,AI548)</f>
        <v>8</v>
      </c>
      <c r="Z548" s="19" t="str">
        <f t="shared" si="352"/>
        <v>1899 Hoffenheim</v>
      </c>
      <c r="AA548" s="19">
        <f>COUNTIFS(F4:F298,Z548,G4:G298,"&gt;=0")+COUNTIFS(I4:I298,Z548,H4:H298,"&gt;=0")</f>
        <v>24</v>
      </c>
      <c r="AB548" s="19">
        <f>COUNTIFS(F4:F298,Z548,B4:B298,3)+COUNTIFS(I4:I298,Z548,M4:M298,3)</f>
        <v>10</v>
      </c>
      <c r="AC548" s="19">
        <f>COUNTIFS(F4:F298,Z548,B4:B298,1)+COUNTIFS(I4:I298,Z548,M4:M298,1)</f>
        <v>4</v>
      </c>
      <c r="AD548" s="19">
        <f>COUNTIFS(F4:F298,Z548,B4:B298,0)+COUNTIFS(I4:I298,Z548,M4:M298,0)</f>
        <v>10</v>
      </c>
      <c r="AE548" s="19">
        <f>SUMIF(F4:F298,Z548,G4:G298)+SUMIF(I4:I298,Z548,H4:H298)</f>
        <v>34</v>
      </c>
      <c r="AF548" s="19">
        <f>SUMIF(F4:F298,Z548,H4:H298)+SUMIF(I4:I298,Z548,G4:G298)</f>
        <v>42</v>
      </c>
      <c r="AG548" s="19">
        <f t="shared" ref="AG548:AG562" si="355">+AE548-AF548</f>
        <v>-8</v>
      </c>
      <c r="AH548" s="19">
        <f>(AB548*3)+AC548</f>
        <v>34</v>
      </c>
      <c r="AI548" s="19">
        <f t="shared" si="353"/>
        <v>33999.953999999998</v>
      </c>
      <c r="AJ548" s="2"/>
      <c r="AW548" s="7"/>
    </row>
    <row r="549" spans="1:49" x14ac:dyDescent="0.25">
      <c r="A549" s="1"/>
      <c r="B549" s="1"/>
      <c r="C549" s="1"/>
      <c r="D549" s="64"/>
      <c r="E549" s="1"/>
      <c r="G549" s="1"/>
      <c r="H549" s="1"/>
      <c r="K549" s="64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2" t="str">
        <f t="shared" si="354"/>
        <v>Bayer Leverkusen</v>
      </c>
      <c r="W549" s="2">
        <f t="shared" si="351"/>
        <v>5</v>
      </c>
      <c r="Y549" s="19">
        <f>RANK(AI549,$AI$545:$AI$562,0)+COUNTIF($AI$544:AI548,AI549)</f>
        <v>5</v>
      </c>
      <c r="Z549" s="19" t="str">
        <f t="shared" si="352"/>
        <v>Bayer Leverkusen</v>
      </c>
      <c r="AA549" s="19">
        <f>COUNTIFS(F4:F298,Z549,G4:G298,"&gt;=0")+COUNTIFS(I4:I298,Z549,H4:H298,"&gt;=0")</f>
        <v>24</v>
      </c>
      <c r="AB549" s="19">
        <f>COUNTIFS(F4:F298,Z549,B4:B298,3)+COUNTIFS(I4:I298,Z549,M4:M298,3)</f>
        <v>13</v>
      </c>
      <c r="AC549" s="19">
        <f>COUNTIFS(F4:F298,Z549,B4:B298,1)+COUNTIFS(I4:I298,Z549,M4:M298,1)</f>
        <v>5</v>
      </c>
      <c r="AD549" s="19">
        <f>COUNTIFS(F4:F298,Z549,B4:B298,0)+COUNTIFS(I4:I298,Z549,M4:M298,0)</f>
        <v>6</v>
      </c>
      <c r="AE549" s="19">
        <f>SUMIF(F4:F298,Z549,G4:G298)+SUMIF(I4:I298,Z549,H4:H298)</f>
        <v>41</v>
      </c>
      <c r="AF549" s="19">
        <f>SUMIF(F4:F298,Z549,H4:H298)+SUMIF(I4:I298,Z549,G4:G298)</f>
        <v>30</v>
      </c>
      <c r="AG549" s="19">
        <f t="shared" si="355"/>
        <v>11</v>
      </c>
      <c r="AH549" s="19">
        <f>(AB549*3)+AC549</f>
        <v>44</v>
      </c>
      <c r="AI549" s="19">
        <f t="shared" si="353"/>
        <v>44000.150999999998</v>
      </c>
      <c r="AJ549" s="2"/>
      <c r="AW549" s="7"/>
    </row>
    <row r="550" spans="1:49" x14ac:dyDescent="0.25">
      <c r="A550" s="1"/>
      <c r="B550" s="1"/>
      <c r="C550" s="1"/>
      <c r="D550" s="64"/>
      <c r="E550" s="1"/>
      <c r="G550" s="1"/>
      <c r="H550" s="1"/>
      <c r="K550" s="64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2" t="str">
        <f t="shared" si="354"/>
        <v>Bayern München</v>
      </c>
      <c r="W550" s="2">
        <f t="shared" si="351"/>
        <v>1</v>
      </c>
      <c r="Y550" s="19">
        <f>RANK(AI550,$AI$545:$AI$562,0)+COUNTIF($AI$544:AI549,AI550)</f>
        <v>1</v>
      </c>
      <c r="Z550" s="19" t="str">
        <f t="shared" si="352"/>
        <v>Bayern München</v>
      </c>
      <c r="AA550" s="19">
        <f>COUNTIFS(F4:F298,Z550,G4:G298,"&gt;=0")+COUNTIFS(I4:I298,Z550,H4:H298,"&gt;=0")</f>
        <v>24</v>
      </c>
      <c r="AB550" s="19">
        <f>COUNTIFS(F4:F298,Z550,B4:B298,3)+COUNTIFS(I4:I298,Z550,M4:M298,3)</f>
        <v>16</v>
      </c>
      <c r="AC550" s="19">
        <f>COUNTIFS(F4:F298,Z550,B4:B298,1)+COUNTIFS(I4:I298,Z550,M4:M298,1)</f>
        <v>4</v>
      </c>
      <c r="AD550" s="19">
        <f>COUNTIFS(F4:F298,Z550,B4:B298,0)+COUNTIFS(I4:I298,Z550,M4:M298,0)</f>
        <v>4</v>
      </c>
      <c r="AE550" s="19">
        <f>SUMIF(F4:F298,Z550,G4:G298)+SUMIF(I4:I298,Z550,H4:H298)</f>
        <v>71</v>
      </c>
      <c r="AF550" s="19">
        <f>SUMIF(F4:F298,Z550,H4:H298)+SUMIF(I4:I298,Z550,G4:G298)</f>
        <v>26</v>
      </c>
      <c r="AG550" s="19">
        <f t="shared" si="355"/>
        <v>45</v>
      </c>
      <c r="AH550" s="19">
        <f t="shared" ref="AH550:AH562" si="356">(AB550*3)+AC550</f>
        <v>52</v>
      </c>
      <c r="AI550" s="19">
        <f t="shared" si="353"/>
        <v>52000.521000000001</v>
      </c>
      <c r="AJ550" s="2"/>
      <c r="AW550" s="7"/>
    </row>
    <row r="551" spans="1:49" x14ac:dyDescent="0.25">
      <c r="A551" s="1"/>
      <c r="B551" s="1"/>
      <c r="C551" s="1"/>
      <c r="D551" s="64"/>
      <c r="E551" s="1"/>
      <c r="G551" s="1"/>
      <c r="H551" s="1"/>
      <c r="K551" s="64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2" t="str">
        <f t="shared" si="354"/>
        <v>Bor. Mönchengladbach</v>
      </c>
      <c r="W551" s="2">
        <f t="shared" si="351"/>
        <v>4</v>
      </c>
      <c r="Y551" s="19">
        <f>RANK(AI551,$AI$545:$AI$562,0)+COUNTIF($AI$544:AI550,AI551)</f>
        <v>4</v>
      </c>
      <c r="Z551" s="19" t="str">
        <f t="shared" si="352"/>
        <v>Bor. Mönchengladbach</v>
      </c>
      <c r="AA551" s="19">
        <f>COUNTIFS(F4:F298,Z551,G4:G298,"&gt;=0")+COUNTIFS(I4:I298,Z551,H4:H298,"&gt;=0")</f>
        <v>23</v>
      </c>
      <c r="AB551" s="19">
        <f>COUNTIFS(F4:F298,Z551,B4:B298,3)+COUNTIFS(I4:I298,Z551,M4:M298,3)</f>
        <v>14</v>
      </c>
      <c r="AC551" s="19">
        <f>COUNTIFS(F4:F298,Z551,B4:B298,1)+COUNTIFS(I4:I298,Z551,M4:M298,1)</f>
        <v>4</v>
      </c>
      <c r="AD551" s="19">
        <f>COUNTIFS(F4:F298,Z551,B4:B298,0)+COUNTIFS(I4:I298,Z551,M4:M298,0)</f>
        <v>5</v>
      </c>
      <c r="AE551" s="19">
        <f>SUMIF(F4:F298,Z551,G4:G298)+SUMIF(I4:I298,Z551,H4:H298)</f>
        <v>46</v>
      </c>
      <c r="AF551" s="19">
        <f>SUMIF(F4:F298,Z551,H4:H298)+SUMIF(I4:I298,Z551,G4:G298)</f>
        <v>27</v>
      </c>
      <c r="AG551" s="19">
        <f t="shared" si="355"/>
        <v>19</v>
      </c>
      <c r="AH551" s="19">
        <f t="shared" si="356"/>
        <v>46</v>
      </c>
      <c r="AI551" s="19">
        <f t="shared" si="353"/>
        <v>46000.236000000004</v>
      </c>
      <c r="AJ551" s="2"/>
      <c r="AW551" s="7"/>
    </row>
    <row r="552" spans="1:49" x14ac:dyDescent="0.25">
      <c r="A552" s="1"/>
      <c r="B552" s="1"/>
      <c r="C552" s="1"/>
      <c r="D552" s="64"/>
      <c r="E552" s="1"/>
      <c r="G552" s="1"/>
      <c r="H552" s="1"/>
      <c r="K552" s="64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2" t="str">
        <f t="shared" si="354"/>
        <v>Borussia Dortmund</v>
      </c>
      <c r="W552" s="2">
        <f t="shared" si="351"/>
        <v>3</v>
      </c>
      <c r="Y552" s="19">
        <f>RANK(AI552,$AI$545:$AI$562,0)+COUNTIF($AI$544:AI551,AI552)</f>
        <v>3</v>
      </c>
      <c r="Z552" s="19" t="str">
        <f t="shared" si="352"/>
        <v>Borussia Dortmund</v>
      </c>
      <c r="AA552" s="19">
        <f>COUNTIFS(F4:F298,Z552,G4:G298,"&gt;=0")+COUNTIFS(I4:I298,Z552,H4:H298,"&gt;=0")</f>
        <v>24</v>
      </c>
      <c r="AB552" s="19">
        <f>COUNTIFS(F4:F298,Z552,B4:B298,3)+COUNTIFS(I4:I298,Z552,M4:M298,3)</f>
        <v>14</v>
      </c>
      <c r="AC552" s="19">
        <f>COUNTIFS(F4:F298,Z552,B4:B298,1)+COUNTIFS(I4:I298,Z552,M4:M298,1)</f>
        <v>6</v>
      </c>
      <c r="AD552" s="19">
        <f>COUNTIFS(F4:F298,Z552,B4:B298,0)+COUNTIFS(I4:I298,Z552,M4:M298,0)</f>
        <v>4</v>
      </c>
      <c r="AE552" s="19">
        <f>SUMIF(F4:F298,Z552,G4:G298)+SUMIF(I4:I298,Z552,H4:H298)</f>
        <v>66</v>
      </c>
      <c r="AF552" s="19">
        <f>SUMIF(F4:F298,Z552,H4:H298)+SUMIF(I4:I298,Z552,G4:G298)</f>
        <v>32</v>
      </c>
      <c r="AG552" s="19">
        <f t="shared" si="355"/>
        <v>34</v>
      </c>
      <c r="AH552" s="19">
        <f t="shared" si="356"/>
        <v>48</v>
      </c>
      <c r="AI552" s="19">
        <f t="shared" si="353"/>
        <v>48000.405999999995</v>
      </c>
      <c r="AJ552" s="2"/>
      <c r="AW552" s="7"/>
    </row>
    <row r="553" spans="1:49" x14ac:dyDescent="0.25">
      <c r="A553" s="1"/>
      <c r="B553" s="1"/>
      <c r="C553" s="1"/>
      <c r="D553" s="64"/>
      <c r="E553" s="1"/>
      <c r="G553" s="1"/>
      <c r="H553" s="1"/>
      <c r="K553" s="64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2" t="str">
        <f t="shared" si="354"/>
        <v>Eintracht Frankfurt</v>
      </c>
      <c r="W553" s="2">
        <f t="shared" si="351"/>
        <v>12</v>
      </c>
      <c r="Y553" s="19">
        <f>RANK(AI553,$AI$545:$AI$562,0)+COUNTIF($AI$544:AI552,AI553)</f>
        <v>12</v>
      </c>
      <c r="Z553" s="19" t="str">
        <f t="shared" si="352"/>
        <v>Eintracht Frankfurt</v>
      </c>
      <c r="AA553" s="19">
        <f>COUNTIFS(F4:F298,Z553,G4:G298,"&gt;=0")+COUNTIFS(I4:I298,Z553,H4:H298,"&gt;=0")</f>
        <v>23</v>
      </c>
      <c r="AB553" s="19">
        <f>COUNTIFS(F4:F298,Z553,B4:B298,3)+COUNTIFS(I4:I298,Z553,M4:M298,3)</f>
        <v>8</v>
      </c>
      <c r="AC553" s="19">
        <f>COUNTIFS(F4:F298,Z553,B4:B298,1)+COUNTIFS(I4:I298,Z553,M4:M298,1)</f>
        <v>4</v>
      </c>
      <c r="AD553" s="19">
        <f>COUNTIFS(F4:F298,Z553,B4:B298,0)+COUNTIFS(I4:I298,Z553,M4:M298,0)</f>
        <v>11</v>
      </c>
      <c r="AE553" s="19">
        <f>SUMIF(F4:F298,Z553,G4:G298)+SUMIF(I4:I298,Z553,H4:H298)</f>
        <v>38</v>
      </c>
      <c r="AF553" s="19">
        <f>SUMIF(F4:F298,Z553,H4:H298)+SUMIF(I4:I298,Z553,G4:G298)</f>
        <v>37</v>
      </c>
      <c r="AG553" s="19">
        <f t="shared" si="355"/>
        <v>1</v>
      </c>
      <c r="AH553" s="19">
        <f t="shared" si="356"/>
        <v>28</v>
      </c>
      <c r="AI553" s="19">
        <f t="shared" si="353"/>
        <v>28000.047999999999</v>
      </c>
      <c r="AJ553" s="2"/>
      <c r="AW553" s="7"/>
    </row>
    <row r="554" spans="1:49" x14ac:dyDescent="0.25">
      <c r="A554" s="1"/>
      <c r="B554" s="1"/>
      <c r="C554" s="1"/>
      <c r="D554" s="64"/>
      <c r="E554" s="1"/>
      <c r="G554" s="1"/>
      <c r="H554" s="1"/>
      <c r="K554" s="64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2" t="str">
        <f t="shared" si="354"/>
        <v>FC Augsburg</v>
      </c>
      <c r="W554" s="2">
        <f t="shared" si="351"/>
        <v>13</v>
      </c>
      <c r="Y554" s="19">
        <f>RANK(AI554,$AI$545:$AI$562,0)+COUNTIF($AI$544:AI553,AI554)</f>
        <v>13</v>
      </c>
      <c r="Z554" s="19" t="str">
        <f t="shared" si="352"/>
        <v>FC Augsburg</v>
      </c>
      <c r="AA554" s="19">
        <f>COUNTIFS(F4:F298,Z554,G4:G298,"&gt;=0")+COUNTIFS(I4:I298,Z554,H4:H298,"&gt;=0")</f>
        <v>24</v>
      </c>
      <c r="AB554" s="19">
        <f>COUNTIFS(F4:F298,Z554,B4:B298,3)+COUNTIFS(I4:I298,Z554,M4:M298,3)</f>
        <v>7</v>
      </c>
      <c r="AC554" s="19">
        <f>COUNTIFS(F4:F298,Z554,B4:B298,1)+COUNTIFS(I4:I298,Z554,M4:M298,1)</f>
        <v>6</v>
      </c>
      <c r="AD554" s="19">
        <f>COUNTIFS(F4:F298,Z554,B4:B298,0)+COUNTIFS(I4:I298,Z554,M4:M298,0)</f>
        <v>11</v>
      </c>
      <c r="AE554" s="19">
        <f>SUMIF(F4:F298,Z554,G4:G298)+SUMIF(I4:I298,Z554,H4:H298)</f>
        <v>36</v>
      </c>
      <c r="AF554" s="19">
        <f>SUMIF(F4:F298,Z554,H4:H298)+SUMIF(I4:I298,Z554,G4:G298)</f>
        <v>50</v>
      </c>
      <c r="AG554" s="19">
        <f t="shared" si="355"/>
        <v>-14</v>
      </c>
      <c r="AH554" s="19">
        <f t="shared" si="356"/>
        <v>27</v>
      </c>
      <c r="AI554" s="19">
        <f t="shared" si="353"/>
        <v>26999.896000000001</v>
      </c>
      <c r="AW554" s="7"/>
    </row>
    <row r="555" spans="1:49" x14ac:dyDescent="0.25">
      <c r="A555" s="1"/>
      <c r="B555" s="1"/>
      <c r="C555" s="1"/>
      <c r="D555" s="64"/>
      <c r="E555" s="1"/>
      <c r="G555" s="1"/>
      <c r="H555" s="1"/>
      <c r="K555" s="64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2" t="str">
        <f t="shared" si="354"/>
        <v>FC Schalke 04</v>
      </c>
      <c r="W555" s="2">
        <f t="shared" si="351"/>
        <v>6</v>
      </c>
      <c r="Y555" s="19">
        <f>RANK(AI555,$AI$545:$AI$562,0)+COUNTIF($AI$544:AI554,AI555)</f>
        <v>6</v>
      </c>
      <c r="Z555" s="19" t="str">
        <f t="shared" si="352"/>
        <v>FC Schalke 04</v>
      </c>
      <c r="AA555" s="19">
        <f>COUNTIFS(F4:F298,Z555,G4:G298,"&gt;=0")+COUNTIFS(I4:I298,Z555,H4:H298,"&gt;=0")</f>
        <v>24</v>
      </c>
      <c r="AB555" s="19">
        <f>COUNTIFS(F4:F298,Z555,B4:B298,3)+COUNTIFS(I4:I298,Z555,M4:M298,3)</f>
        <v>9</v>
      </c>
      <c r="AC555" s="19">
        <f>COUNTIFS(F4:F298,Z555,B4:B298,1)+COUNTIFS(I4:I298,Z555,M4:M298,1)</f>
        <v>9</v>
      </c>
      <c r="AD555" s="19">
        <f>COUNTIFS(F4:F298,Z555,B4:B298,0)+COUNTIFS(I4:I298,Z555,M4:M298,0)</f>
        <v>6</v>
      </c>
      <c r="AE555" s="19">
        <f>SUMIF(F4:F298,Z555,G4:G298)+SUMIF(I4:I298,Z555,H4:H298)</f>
        <v>32</v>
      </c>
      <c r="AF555" s="19">
        <f>SUMIF(F4:F298,Z555,H4:H298)+SUMIF(I4:I298,Z555,G4:G298)</f>
        <v>35</v>
      </c>
      <c r="AG555" s="19">
        <f t="shared" si="355"/>
        <v>-3</v>
      </c>
      <c r="AH555" s="19">
        <f t="shared" si="356"/>
        <v>36</v>
      </c>
      <c r="AI555" s="19">
        <f t="shared" si="353"/>
        <v>36000.002</v>
      </c>
      <c r="AJ555" s="2"/>
      <c r="AW555" s="7"/>
    </row>
    <row r="556" spans="1:49" x14ac:dyDescent="0.25">
      <c r="A556" s="1"/>
      <c r="B556" s="1"/>
      <c r="C556" s="1"/>
      <c r="D556" s="64"/>
      <c r="E556" s="1"/>
      <c r="G556" s="1"/>
      <c r="H556" s="1"/>
      <c r="K556" s="64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2" t="str">
        <f t="shared" si="354"/>
        <v>Fortuna Düsseldorf</v>
      </c>
      <c r="W556" s="2">
        <f t="shared" si="351"/>
        <v>16</v>
      </c>
      <c r="Y556" s="19">
        <f>RANK(AI556,$AI$545:$AI$562,0)+COUNTIF($AI$544:AI555,AI556)</f>
        <v>16</v>
      </c>
      <c r="Z556" s="19" t="str">
        <f t="shared" si="352"/>
        <v>Fortuna Düsseldorf</v>
      </c>
      <c r="AA556" s="19">
        <f>COUNTIFS(F4:F298,Z556,G4:G298,"&gt;=0")+COUNTIFS(I4:I298,Z556,H4:H298,"&gt;=0")</f>
        <v>24</v>
      </c>
      <c r="AB556" s="19">
        <f>COUNTIFS(F4:F298,Z556,B4:B298,3)+COUNTIFS(I4:I298,Z556,M4:M298,3)</f>
        <v>5</v>
      </c>
      <c r="AC556" s="19">
        <f>COUNTIFS(F4:F298,Z556,B4:B298,1)+COUNTIFS(I4:I298,Z556,M4:M298,1)</f>
        <v>6</v>
      </c>
      <c r="AD556" s="19">
        <f>COUNTIFS(F4:F298,Z556,B4:B298,0)+COUNTIFS(I4:I298,Z556,M4:M298,0)</f>
        <v>13</v>
      </c>
      <c r="AE556" s="19">
        <f>SUMIF(F4:F298,Z556,G4:G298)+SUMIF(I4:I298,Z556,H4:H298)</f>
        <v>26</v>
      </c>
      <c r="AF556" s="19">
        <f>SUMIF(F4:F298,Z556,H4:H298)+SUMIF(I4:I298,Z556,G4:G298)</f>
        <v>49</v>
      </c>
      <c r="AG556" s="19">
        <f t="shared" si="355"/>
        <v>-23</v>
      </c>
      <c r="AH556" s="19">
        <f t="shared" si="356"/>
        <v>21</v>
      </c>
      <c r="AI556" s="19">
        <f t="shared" si="353"/>
        <v>20999.796000000002</v>
      </c>
      <c r="AJ556" s="2"/>
      <c r="AW556" s="7"/>
    </row>
    <row r="557" spans="1:49" x14ac:dyDescent="0.25">
      <c r="A557" s="1"/>
      <c r="B557" s="1"/>
      <c r="C557" s="1"/>
      <c r="D557" s="64"/>
      <c r="E557" s="1"/>
      <c r="G557" s="1"/>
      <c r="H557" s="1"/>
      <c r="K557" s="64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2" t="str">
        <f t="shared" si="354"/>
        <v>Hertha BSC</v>
      </c>
      <c r="W557" s="2">
        <f t="shared" si="351"/>
        <v>14</v>
      </c>
      <c r="Y557" s="19">
        <f>RANK(AI557,$AI$545:$AI$562,0)+COUNTIF($AI$544:AI556,AI557)</f>
        <v>14</v>
      </c>
      <c r="Z557" s="19" t="str">
        <f t="shared" si="352"/>
        <v>Hertha BSC</v>
      </c>
      <c r="AA557" s="19">
        <f>COUNTIFS(F4:F298,Z557,G4:G298,"&gt;=0")+COUNTIFS(I4:I298,Z557,H4:H298,"&gt;=0")</f>
        <v>24</v>
      </c>
      <c r="AB557" s="19">
        <f>COUNTIFS(F4:F298,Z557,B4:B298,3)+COUNTIFS(I4:I298,Z557,M4:M298,3)</f>
        <v>7</v>
      </c>
      <c r="AC557" s="19">
        <f>COUNTIFS(F4:F298,Z557,B4:B298,1)+COUNTIFS(I4:I298,Z557,M4:M298,1)</f>
        <v>6</v>
      </c>
      <c r="AD557" s="19">
        <f>COUNTIFS(F4:F298,Z557,B4:B298,0)+COUNTIFS(I4:I298,Z557,M4:M298,0)</f>
        <v>11</v>
      </c>
      <c r="AE557" s="19">
        <f>SUMIF(F4:F298,Z557,G4:G298)+SUMIF(I4:I298,Z557,H4:H298)</f>
        <v>30</v>
      </c>
      <c r="AF557" s="19">
        <f>SUMIF(F4:F298,Z557,H4:H298)+SUMIF(I4:I298,Z557,G4:G298)</f>
        <v>46</v>
      </c>
      <c r="AG557" s="19">
        <f t="shared" si="355"/>
        <v>-16</v>
      </c>
      <c r="AH557" s="19">
        <f t="shared" si="356"/>
        <v>27</v>
      </c>
      <c r="AI557" s="19">
        <f t="shared" si="353"/>
        <v>26999.87</v>
      </c>
      <c r="AJ557" s="2"/>
      <c r="AW557" s="7"/>
    </row>
    <row r="558" spans="1:49" x14ac:dyDescent="0.25">
      <c r="A558" s="1"/>
      <c r="B558" s="1"/>
      <c r="C558" s="1"/>
      <c r="D558" s="64"/>
      <c r="E558" s="1"/>
      <c r="G558" s="1"/>
      <c r="H558" s="1"/>
      <c r="K558" s="64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2" t="str">
        <f t="shared" si="354"/>
        <v>RB Leipzig</v>
      </c>
      <c r="W558" s="2">
        <f t="shared" si="351"/>
        <v>2</v>
      </c>
      <c r="Y558" s="19">
        <f>RANK(AI558,$AI$545:$AI$562,0)+COUNTIF($AI$544:AI557,AI558)</f>
        <v>2</v>
      </c>
      <c r="Z558" s="19" t="str">
        <f t="shared" si="352"/>
        <v>RB Leipzig</v>
      </c>
      <c r="AA558" s="19">
        <f>COUNTIFS(F4:F298,Z558,G4:G298,"&gt;=0")+COUNTIFS(I4:I298,Z558,H4:H298,"&gt;=0")</f>
        <v>24</v>
      </c>
      <c r="AB558" s="19">
        <f>COUNTIFS(F4:F298,Z558,B4:B298,3)+COUNTIFS(I4:I298,Z558,M4:M298,3)</f>
        <v>14</v>
      </c>
      <c r="AC558" s="19">
        <f>COUNTIFS(F4:F298,Z558,B4:B298,1)+COUNTIFS(I4:I298,Z558,M4:M298,1)</f>
        <v>7</v>
      </c>
      <c r="AD558" s="19">
        <f>COUNTIFS(F4:F298,Z558,B4:B298,0)+COUNTIFS(I4:I298,Z558,M4:M298,0)</f>
        <v>3</v>
      </c>
      <c r="AE558" s="19">
        <f>SUMIF(F4:F298,Z558,G4:G298)+SUMIF(I4:I298,Z558,H4:H298)</f>
        <v>62</v>
      </c>
      <c r="AF558" s="19">
        <f>SUMIF(F4:F298,Z558,H4:H298)+SUMIF(I4:I298,Z558,G4:G298)</f>
        <v>26</v>
      </c>
      <c r="AG558" s="19">
        <f t="shared" si="355"/>
        <v>36</v>
      </c>
      <c r="AH558" s="19">
        <f t="shared" si="356"/>
        <v>49</v>
      </c>
      <c r="AI558" s="19">
        <f t="shared" si="353"/>
        <v>49000.421999999999</v>
      </c>
      <c r="AJ558" s="2"/>
      <c r="AW558" s="7"/>
    </row>
    <row r="559" spans="1:49" x14ac:dyDescent="0.25">
      <c r="A559" s="1"/>
      <c r="B559" s="1"/>
      <c r="C559" s="1"/>
      <c r="D559" s="64"/>
      <c r="E559" s="1"/>
      <c r="G559" s="1"/>
      <c r="H559" s="1"/>
      <c r="K559" s="64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2" t="str">
        <f t="shared" si="354"/>
        <v>SC Freiburg</v>
      </c>
      <c r="W559" s="2">
        <f t="shared" si="351"/>
        <v>9</v>
      </c>
      <c r="Y559" s="19">
        <f>RANK(AI559,$AI$545:$AI$562,0)+COUNTIF($AI$544:AI558,AI559)</f>
        <v>9</v>
      </c>
      <c r="Z559" s="19" t="str">
        <f t="shared" si="352"/>
        <v>SC Freiburg</v>
      </c>
      <c r="AA559" s="19">
        <f>COUNTIFS(F4:F298,Z559,G4:G298,"&gt;=0")+COUNTIFS(I4:I298,Z559,H4:H298,"&gt;=0")</f>
        <v>24</v>
      </c>
      <c r="AB559" s="19">
        <f>COUNTIFS(F4:F298,Z559,B4:B298,3)+COUNTIFS(I4:I298,Z559,M4:M298,3)</f>
        <v>9</v>
      </c>
      <c r="AC559" s="19">
        <f>COUNTIFS(F4:F298,Z559,B4:B298,1)+COUNTIFS(I4:I298,Z559,M4:M298,1)</f>
        <v>6</v>
      </c>
      <c r="AD559" s="19">
        <f>COUNTIFS(F4:F298,Z559,B4:B298,0)+COUNTIFS(I4:I298,Z559,M4:M298,0)</f>
        <v>9</v>
      </c>
      <c r="AE559" s="19">
        <f>SUMIF(F4:F298,Z559,G4:G298)+SUMIF(I4:I298,Z559,H4:H298)</f>
        <v>31</v>
      </c>
      <c r="AF559" s="19">
        <f>SUMIF(F4:F298,Z559,H4:H298)+SUMIF(I4:I298,Z559,G4:G298)</f>
        <v>34</v>
      </c>
      <c r="AG559" s="19">
        <f t="shared" si="355"/>
        <v>-3</v>
      </c>
      <c r="AH559" s="19">
        <f t="shared" si="356"/>
        <v>33</v>
      </c>
      <c r="AI559" s="19">
        <f t="shared" si="353"/>
        <v>33000.001000000004</v>
      </c>
      <c r="AJ559" s="2"/>
      <c r="AW559" s="7"/>
    </row>
    <row r="560" spans="1:49" x14ac:dyDescent="0.25">
      <c r="A560" s="1"/>
      <c r="B560" s="1"/>
      <c r="C560" s="1"/>
      <c r="D560" s="64"/>
      <c r="E560" s="1"/>
      <c r="G560" s="1"/>
      <c r="H560" s="1"/>
      <c r="K560" s="64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2" t="str">
        <f t="shared" si="354"/>
        <v>SC Paderborn 07</v>
      </c>
      <c r="W560" s="2">
        <f t="shared" si="351"/>
        <v>18</v>
      </c>
      <c r="Y560" s="19">
        <f>RANK(AI560,$AI$545:$AI$562,0)+COUNTIF($AI$544:AI559,AI560)</f>
        <v>18</v>
      </c>
      <c r="Z560" s="19" t="str">
        <f t="shared" si="352"/>
        <v>SC Paderborn 07</v>
      </c>
      <c r="AA560" s="19">
        <f>COUNTIFS(F4:F298,Z560,G4:G298,"&gt;=0")+COUNTIFS(I4:I298,Z560,H4:H298,"&gt;=0")</f>
        <v>24</v>
      </c>
      <c r="AB560" s="19">
        <f>COUNTIFS(F4:F298,Z560,B4:B298,3)+COUNTIFS(I4:I298,Z560,M4:M298,3)</f>
        <v>4</v>
      </c>
      <c r="AC560" s="19">
        <f>COUNTIFS(F4:F298,Z560,B4:B298,1)+COUNTIFS(I4:I298,Z560,M4:M298,1)</f>
        <v>4</v>
      </c>
      <c r="AD560" s="19">
        <f>COUNTIFS(F4:F298,Z560,B4:B298,0)+COUNTIFS(I4:I298,Z560,M4:M298,0)</f>
        <v>16</v>
      </c>
      <c r="AE560" s="19">
        <f>SUMIF(F4:F298,Z560,G4:G298)+SUMIF(I4:I298,Z560,H4:H298)</f>
        <v>29</v>
      </c>
      <c r="AF560" s="19">
        <f>SUMIF(F4:F298,Z560,H4:H298)+SUMIF(I4:I298,Z560,G4:G298)</f>
        <v>52</v>
      </c>
      <c r="AG560" s="19">
        <f t="shared" si="355"/>
        <v>-23</v>
      </c>
      <c r="AH560" s="19">
        <f t="shared" si="356"/>
        <v>16</v>
      </c>
      <c r="AI560" s="19">
        <f t="shared" si="353"/>
        <v>15999.799000000001</v>
      </c>
      <c r="AJ560" s="2"/>
      <c r="AW560" s="7"/>
    </row>
    <row r="561" spans="1:49" x14ac:dyDescent="0.25">
      <c r="A561" s="1"/>
      <c r="B561" s="1"/>
      <c r="C561" s="1"/>
      <c r="D561" s="64"/>
      <c r="E561" s="1"/>
      <c r="G561" s="1"/>
      <c r="H561" s="1"/>
      <c r="K561" s="64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2" t="str">
        <f t="shared" si="354"/>
        <v>VfL Wolfsburg</v>
      </c>
      <c r="W561" s="2">
        <f t="shared" si="351"/>
        <v>7</v>
      </c>
      <c r="Y561" s="19">
        <f>RANK(AI561,$AI$545:$AI$562,0)+COUNTIF($AI$544:AI560,AI561)</f>
        <v>7</v>
      </c>
      <c r="Z561" s="19" t="str">
        <f t="shared" si="352"/>
        <v>VfL Wolfsburg</v>
      </c>
      <c r="AA561" s="19">
        <f>COUNTIFS(F4:F298,Z561,G4:G298,"&gt;=0")+COUNTIFS(I4:I298,Z561,H4:H298,"&gt;=0")</f>
        <v>24</v>
      </c>
      <c r="AB561" s="19">
        <f>COUNTIFS(F4:F298,Z561,B4:B298,3)+COUNTIFS(I4:I298,Z561,M4:M298,3)</f>
        <v>9</v>
      </c>
      <c r="AC561" s="19">
        <f>COUNTIFS(F4:F298,Z561,B4:B298,1)+COUNTIFS(I4:I298,Z561,M4:M298,1)</f>
        <v>8</v>
      </c>
      <c r="AD561" s="19">
        <f>COUNTIFS(F4:F298,Z561,B4:B298,0)+COUNTIFS(I4:I298,Z561,M4:M298,0)</f>
        <v>7</v>
      </c>
      <c r="AE561" s="19">
        <f>SUMIF(F4:F298,Z561,G4:G298)+SUMIF(I4:I298,Z561,H4:H298)</f>
        <v>34</v>
      </c>
      <c r="AF561" s="19">
        <f>SUMIF(F4:F298,Z561,H4:H298)+SUMIF(I4:I298,Z561,G4:G298)</f>
        <v>30</v>
      </c>
      <c r="AG561" s="19">
        <f t="shared" si="355"/>
        <v>4</v>
      </c>
      <c r="AH561" s="19">
        <f t="shared" si="356"/>
        <v>35</v>
      </c>
      <c r="AI561" s="19">
        <f t="shared" si="353"/>
        <v>35000.074000000001</v>
      </c>
      <c r="AJ561" s="2"/>
      <c r="AW561" s="7"/>
    </row>
    <row r="562" spans="1:49" x14ac:dyDescent="0.25">
      <c r="A562" s="1"/>
      <c r="B562" s="1"/>
      <c r="C562" s="1"/>
      <c r="D562" s="64"/>
      <c r="E562" s="1"/>
      <c r="G562" s="1"/>
      <c r="H562" s="1"/>
      <c r="K562" s="64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2" t="str">
        <f t="shared" si="354"/>
        <v>Werder Bremen</v>
      </c>
      <c r="W562" s="2">
        <f t="shared" si="351"/>
        <v>17</v>
      </c>
      <c r="Y562" s="19">
        <f>RANK(AI562,$AI$545:$AI$562,0)+COUNTIF($AI$544:AI561,AI562)</f>
        <v>17</v>
      </c>
      <c r="Z562" s="19" t="str">
        <f t="shared" si="352"/>
        <v>Werder Bremen</v>
      </c>
      <c r="AA562" s="19">
        <f>COUNTIFS(F4:F298,Z562,G4:G298,"&gt;=0")+COUNTIFS(I4:I298,Z562,H4:H298,"&gt;=0")</f>
        <v>23</v>
      </c>
      <c r="AB562" s="19">
        <f>COUNTIFS(F4:F298,Z562,B4:B298,3)+COUNTIFS(I4:I298,Z562,M4:M298,3)</f>
        <v>4</v>
      </c>
      <c r="AC562" s="19">
        <f>COUNTIFS(F4:F298,Z562,B4:B298,1)+COUNTIFS(I4:I298,Z562,M4:M298,1)</f>
        <v>5</v>
      </c>
      <c r="AD562" s="19">
        <f>COUNTIFS(F4:F298,Z562,B4:B298,0)+COUNTIFS(I4:I298,Z562,M4:M298,0)</f>
        <v>14</v>
      </c>
      <c r="AE562" s="19">
        <f>SUMIF(F4:F298,Z562,G4:G298)+SUMIF(I4:I298,Z562,H4:H298)</f>
        <v>25</v>
      </c>
      <c r="AF562" s="19">
        <f>SUMIF(F4:F298,Z562,H4:H298)+SUMIF(I4:I298,Z562,G4:G298)</f>
        <v>53</v>
      </c>
      <c r="AG562" s="19">
        <f t="shared" si="355"/>
        <v>-28</v>
      </c>
      <c r="AH562" s="19">
        <f t="shared" si="356"/>
        <v>17</v>
      </c>
      <c r="AI562" s="19">
        <f t="shared" si="353"/>
        <v>16999.745000000003</v>
      </c>
      <c r="AJ562" s="2"/>
      <c r="AW562" s="7"/>
    </row>
    <row r="563" spans="1:49" x14ac:dyDescent="0.25">
      <c r="A563" s="1"/>
      <c r="B563" s="1"/>
      <c r="C563" s="1"/>
      <c r="D563" s="64"/>
      <c r="E563" s="1"/>
      <c r="G563" s="1"/>
      <c r="H563" s="1"/>
      <c r="K563" s="64"/>
      <c r="L563" s="1"/>
      <c r="M563" s="1"/>
      <c r="N563" s="1"/>
      <c r="O563" s="1"/>
      <c r="P563" s="1"/>
      <c r="Q563" s="1"/>
      <c r="R563" s="1"/>
      <c r="S563" s="1"/>
      <c r="T563" s="1"/>
      <c r="U563" s="1"/>
      <c r="AJ563" s="2"/>
      <c r="AW563" s="7"/>
    </row>
    <row r="564" spans="1:49" x14ac:dyDescent="0.25">
      <c r="A564" s="1"/>
      <c r="B564" s="1"/>
      <c r="C564" s="1"/>
      <c r="D564" s="64"/>
      <c r="E564" s="1"/>
      <c r="G564" s="1"/>
      <c r="H564" s="1"/>
      <c r="K564" s="64"/>
      <c r="L564" s="1"/>
      <c r="M564" s="1"/>
      <c r="N564" s="1"/>
      <c r="O564" s="1"/>
      <c r="P564" s="1"/>
      <c r="Q564" s="1"/>
      <c r="R564" s="1"/>
      <c r="S564" s="1"/>
      <c r="T564" s="1"/>
      <c r="U564" s="1"/>
      <c r="W564" s="18">
        <v>28</v>
      </c>
      <c r="Y564" s="19"/>
      <c r="Z564" s="19" t="s">
        <v>1</v>
      </c>
      <c r="AA564" s="19" t="s">
        <v>2</v>
      </c>
      <c r="AB564" s="19" t="s">
        <v>3</v>
      </c>
      <c r="AC564" s="19" t="s">
        <v>4</v>
      </c>
      <c r="AD564" s="19" t="s">
        <v>5</v>
      </c>
      <c r="AE564" s="19" t="s">
        <v>6</v>
      </c>
      <c r="AF564" s="19" t="s">
        <v>7</v>
      </c>
      <c r="AG564" s="19" t="s">
        <v>8</v>
      </c>
      <c r="AH564" s="19" t="s">
        <v>9</v>
      </c>
      <c r="AI564" s="19" t="s">
        <v>0</v>
      </c>
      <c r="AJ564" s="2"/>
      <c r="AW564" s="7"/>
    </row>
    <row r="565" spans="1:49" x14ac:dyDescent="0.25">
      <c r="A565" s="1"/>
      <c r="B565" s="1"/>
      <c r="C565" s="1"/>
      <c r="D565" s="64"/>
      <c r="E565" s="1"/>
      <c r="G565" s="1"/>
      <c r="H565" s="1"/>
      <c r="K565" s="64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2" t="str">
        <f>CONCATENATE(Z565)</f>
        <v>1. FC Köln</v>
      </c>
      <c r="W565" s="2">
        <f t="shared" ref="W565:W582" si="357">Y565</f>
        <v>11</v>
      </c>
      <c r="Y565" s="19">
        <f>RANK(AI565,$AI$565:$AI$582,0)+COUNTIF($AI$564:AI564,AI565)</f>
        <v>11</v>
      </c>
      <c r="Z565" s="19" t="str">
        <f t="shared" ref="Z565:Z582" si="358">CONCATENATE(Z5)</f>
        <v>1. FC Köln</v>
      </c>
      <c r="AA565" s="19">
        <f>COUNTIFS(F4:F309,Z565,G4:G309,"&gt;=0")+COUNTIFS(I4:I309,Z565,H4:H309,"&gt;=0")</f>
        <v>23</v>
      </c>
      <c r="AB565" s="19">
        <f>COUNTIFS(F4:F309,Z565,B4:B309,3)+COUNTIFS(I4:I309,Z565,M4:M309,3)</f>
        <v>9</v>
      </c>
      <c r="AC565" s="19">
        <f>COUNTIFS(F4:F309,Z565,B4:B309,1)+COUNTIFS(I4:I309,Z565,M4:M309,1)</f>
        <v>2</v>
      </c>
      <c r="AD565" s="19">
        <f>COUNTIFS(F4:F309,Z565,B4:B309,0)+COUNTIFS(I4:I309,Z565,M4:M309,0)</f>
        <v>12</v>
      </c>
      <c r="AE565" s="19">
        <f>SUMIF(F4:F309,Z565,G4:G309)+SUMIF(I4:I309,Z565,H4:H309)</f>
        <v>36</v>
      </c>
      <c r="AF565" s="19">
        <f>SUMIF(F4:F309,Z565,H4:H309)+SUMIF(I4:I309,Z565,G4:G309)</f>
        <v>42</v>
      </c>
      <c r="AG565" s="19">
        <f>+AE565-AF565</f>
        <v>-6</v>
      </c>
      <c r="AH565" s="19">
        <f>(AB565*3)+AC565</f>
        <v>29</v>
      </c>
      <c r="AI565" s="19">
        <f>SUM(AH565*1000+(AG565)/100+(AE565)/1000)</f>
        <v>28999.975999999999</v>
      </c>
      <c r="AJ565" s="2"/>
      <c r="AW565" s="7"/>
    </row>
    <row r="566" spans="1:49" x14ac:dyDescent="0.25">
      <c r="A566" s="1"/>
      <c r="B566" s="1"/>
      <c r="C566" s="1"/>
      <c r="D566" s="64"/>
      <c r="E566" s="1"/>
      <c r="G566" s="1"/>
      <c r="H566" s="1"/>
      <c r="K566" s="64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2" t="str">
        <f t="shared" ref="V566:V582" si="359">CONCATENATE(Z566)</f>
        <v>1. FC Union Berlin</v>
      </c>
      <c r="W566" s="2">
        <f t="shared" si="357"/>
        <v>10</v>
      </c>
      <c r="Y566" s="19">
        <f>RANK(AI566,$AI$565:$AI$582,0)+COUNTIF($AI$564:AI565,AI566)</f>
        <v>10</v>
      </c>
      <c r="Z566" s="19" t="str">
        <f t="shared" si="358"/>
        <v>1. FC Union Berlin</v>
      </c>
      <c r="AA566" s="19">
        <f>COUNTIFS(F4:F309,Z566,G4:G309,"&gt;=0")+COUNTIFS(I4:I309,Z566,H4:H309,"&gt;=0")</f>
        <v>24</v>
      </c>
      <c r="AB566" s="19">
        <f>COUNTIFS(F4:F309,Z566,B4:B309,3)+COUNTIFS(I4:I309,Z566,M4:M309,3)</f>
        <v>9</v>
      </c>
      <c r="AC566" s="19">
        <f>COUNTIFS(F4:F309,Z566,B4:B309,1)+COUNTIFS(I4:I309,Z566,M4:M309,1)</f>
        <v>3</v>
      </c>
      <c r="AD566" s="19">
        <f>COUNTIFS(F4:F309,Z566,B4:B309,0)+COUNTIFS(I4:I309,Z566,M4:M309,0)</f>
        <v>12</v>
      </c>
      <c r="AE566" s="19">
        <f>SUMIF(F4:F309,Z566,G4:G309)+SUMIF(I4:I309,Z566,H4:H309)</f>
        <v>31</v>
      </c>
      <c r="AF566" s="19">
        <f>SUMIF(F4:F309,Z566,H4:H309)+SUMIF(I4:I309,Z566,G4:G309)</f>
        <v>38</v>
      </c>
      <c r="AG566" s="19">
        <f>+AE566-AF566</f>
        <v>-7</v>
      </c>
      <c r="AH566" s="19">
        <f>(AB566*3)+AC566</f>
        <v>30</v>
      </c>
      <c r="AI566" s="19">
        <f t="shared" ref="AI566:AI582" si="360">SUM(AH566*1000+(AG566)/100+(AE566)/1000)</f>
        <v>29999.960999999999</v>
      </c>
      <c r="AJ566" s="2"/>
      <c r="AW566" s="7"/>
    </row>
    <row r="567" spans="1:49" x14ac:dyDescent="0.25">
      <c r="A567" s="1"/>
      <c r="B567" s="1"/>
      <c r="C567" s="1"/>
      <c r="D567" s="64"/>
      <c r="E567" s="1"/>
      <c r="G567" s="1"/>
      <c r="H567" s="1"/>
      <c r="K567" s="64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2" t="str">
        <f t="shared" si="359"/>
        <v>1. FSV Mainz 05</v>
      </c>
      <c r="W567" s="2">
        <f t="shared" si="357"/>
        <v>15</v>
      </c>
      <c r="Y567" s="19">
        <f>RANK(AI567,$AI$565:$AI$582,0)+COUNTIF($AI$564:AI566,AI567)</f>
        <v>15</v>
      </c>
      <c r="Z567" s="19" t="str">
        <f t="shared" si="358"/>
        <v>1. FSV Mainz 05</v>
      </c>
      <c r="AA567" s="19">
        <f>COUNTIFS(F4:F309,Z567,G4:G309,"&gt;=0")+COUNTIFS(I4:I309,Z567,H4:H309,"&gt;=0")</f>
        <v>24</v>
      </c>
      <c r="AB567" s="19">
        <f>COUNTIFS(F4:F309,Z567,B4:B309,3)+COUNTIFS(I4:I309,Z567,M4:M309,3)</f>
        <v>8</v>
      </c>
      <c r="AC567" s="19">
        <f>COUNTIFS(F4:F309,Z567,B4:B309,1)+COUNTIFS(I4:I309,Z567,M4:M309,1)</f>
        <v>1</v>
      </c>
      <c r="AD567" s="19">
        <f>COUNTIFS(F4:F309,Z567,B4:B309,0)+COUNTIFS(I4:I309,Z567,M4:M309,0)</f>
        <v>15</v>
      </c>
      <c r="AE567" s="19">
        <f>SUMIF(F4:F309,Z567,G4:G309)+SUMIF(I4:I309,Z567,H4:H309)</f>
        <v>33</v>
      </c>
      <c r="AF567" s="19">
        <f>SUMIF(F4:F309,Z567,H4:H309)+SUMIF(I4:I309,Z567,G4:G309)</f>
        <v>52</v>
      </c>
      <c r="AG567" s="19">
        <f>+AE567-AF567</f>
        <v>-19</v>
      </c>
      <c r="AH567" s="19">
        <f>(AB567*3)+AC567</f>
        <v>25</v>
      </c>
      <c r="AI567" s="19">
        <f t="shared" si="360"/>
        <v>24999.843000000001</v>
      </c>
      <c r="AJ567" s="2"/>
      <c r="AW567" s="7"/>
    </row>
    <row r="568" spans="1:49" x14ac:dyDescent="0.25">
      <c r="A568" s="1"/>
      <c r="B568" s="1"/>
      <c r="C568" s="1"/>
      <c r="D568" s="64"/>
      <c r="E568" s="1"/>
      <c r="G568" s="1"/>
      <c r="H568" s="1"/>
      <c r="K568" s="64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2" t="str">
        <f t="shared" si="359"/>
        <v>1899 Hoffenheim</v>
      </c>
      <c r="W568" s="2">
        <f t="shared" si="357"/>
        <v>8</v>
      </c>
      <c r="Y568" s="19">
        <f>RANK(AI568,$AI$565:$AI$582,0)+COUNTIF($AI$564:AI567,AI568)</f>
        <v>8</v>
      </c>
      <c r="Z568" s="19" t="str">
        <f t="shared" si="358"/>
        <v>1899 Hoffenheim</v>
      </c>
      <c r="AA568" s="19">
        <f>COUNTIFS(F4:F309,Z568,G4:G309,"&gt;=0")+COUNTIFS(I4:I309,Z568,H4:H309,"&gt;=0")</f>
        <v>24</v>
      </c>
      <c r="AB568" s="19">
        <f>COUNTIFS(F4:F309,Z568,B4:B309,3)+COUNTIFS(I4:I309,Z568,M4:M309,3)</f>
        <v>10</v>
      </c>
      <c r="AC568" s="19">
        <f>COUNTIFS(F4:F309,Z568,B4:B309,1)+COUNTIFS(I4:I309,Z568,M4:M309,1)</f>
        <v>4</v>
      </c>
      <c r="AD568" s="19">
        <f>COUNTIFS(F4:F309,Z568,B4:B309,0)+COUNTIFS(I4:I309,Z568,M4:M309,0)</f>
        <v>10</v>
      </c>
      <c r="AE568" s="19">
        <f>SUMIF(F4:F309,Z568,G4:G309)+SUMIF(I4:I309,Z568,H4:H309)</f>
        <v>34</v>
      </c>
      <c r="AF568" s="19">
        <f>SUMIF(F4:F309,Z568,H4:H309)+SUMIF(I4:I309,Z568,G4:G309)</f>
        <v>42</v>
      </c>
      <c r="AG568" s="19">
        <f t="shared" ref="AG568:AG582" si="361">+AE568-AF568</f>
        <v>-8</v>
      </c>
      <c r="AH568" s="19">
        <f>(AB568*3)+AC568</f>
        <v>34</v>
      </c>
      <c r="AI568" s="19">
        <f t="shared" si="360"/>
        <v>33999.953999999998</v>
      </c>
      <c r="AJ568" s="2"/>
      <c r="AW568" s="7"/>
    </row>
    <row r="569" spans="1:49" x14ac:dyDescent="0.25">
      <c r="A569" s="1"/>
      <c r="B569" s="1"/>
      <c r="C569" s="1"/>
      <c r="D569" s="64"/>
      <c r="E569" s="1"/>
      <c r="G569" s="1"/>
      <c r="H569" s="1"/>
      <c r="K569" s="64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2" t="str">
        <f t="shared" si="359"/>
        <v>Bayer Leverkusen</v>
      </c>
      <c r="W569" s="2">
        <f t="shared" si="357"/>
        <v>5</v>
      </c>
      <c r="Y569" s="19">
        <f>RANK(AI569,$AI$565:$AI$582,0)+COUNTIF($AI$564:AI568,AI569)</f>
        <v>5</v>
      </c>
      <c r="Z569" s="19" t="str">
        <f t="shared" si="358"/>
        <v>Bayer Leverkusen</v>
      </c>
      <c r="AA569" s="19">
        <f>COUNTIFS(F4:F309,Z569,G4:G309,"&gt;=0")+COUNTIFS(I4:I309,Z569,H4:H309,"&gt;=0")</f>
        <v>24</v>
      </c>
      <c r="AB569" s="19">
        <f>COUNTIFS(F4:F309,Z569,B4:B309,3)+COUNTIFS(I4:I309,Z569,M4:M309,3)</f>
        <v>13</v>
      </c>
      <c r="AC569" s="19">
        <f>COUNTIFS(F4:F309,Z569,B4:B309,1)+COUNTIFS(I4:I309,Z569,M4:M309,1)</f>
        <v>5</v>
      </c>
      <c r="AD569" s="19">
        <f>COUNTIFS(F4:F309,Z569,B4:B309,0)+COUNTIFS(I4:I309,Z569,M4:M309,0)</f>
        <v>6</v>
      </c>
      <c r="AE569" s="19">
        <f>SUMIF(F4:F309,Z569,G4:G309)+SUMIF(I4:I309,Z569,H4:H309)</f>
        <v>41</v>
      </c>
      <c r="AF569" s="19">
        <f>SUMIF(F4:F309,Z569,H4:H309)+SUMIF(I4:I309,Z569,G4:G309)</f>
        <v>30</v>
      </c>
      <c r="AG569" s="19">
        <f t="shared" si="361"/>
        <v>11</v>
      </c>
      <c r="AH569" s="19">
        <f>(AB569*3)+AC569</f>
        <v>44</v>
      </c>
      <c r="AI569" s="19">
        <f t="shared" si="360"/>
        <v>44000.150999999998</v>
      </c>
      <c r="AJ569" s="2"/>
      <c r="AW569" s="7"/>
    </row>
    <row r="570" spans="1:49" x14ac:dyDescent="0.25">
      <c r="A570" s="1"/>
      <c r="B570" s="1"/>
      <c r="C570" s="1"/>
      <c r="D570" s="64"/>
      <c r="E570" s="1"/>
      <c r="G570" s="1"/>
      <c r="H570" s="1"/>
      <c r="K570" s="64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2" t="str">
        <f t="shared" si="359"/>
        <v>Bayern München</v>
      </c>
      <c r="W570" s="2">
        <f t="shared" si="357"/>
        <v>1</v>
      </c>
      <c r="Y570" s="19">
        <f>RANK(AI570,$AI$565:$AI$582,0)+COUNTIF($AI$564:AI569,AI570)</f>
        <v>1</v>
      </c>
      <c r="Z570" s="19" t="str">
        <f t="shared" si="358"/>
        <v>Bayern München</v>
      </c>
      <c r="AA570" s="19">
        <f>COUNTIFS(F4:F309,Z570,G4:G309,"&gt;=0")+COUNTIFS(I4:I309,Z570,H4:H309,"&gt;=0")</f>
        <v>24</v>
      </c>
      <c r="AB570" s="19">
        <f>COUNTIFS(F4:F309,Z570,B4:B309,3)+COUNTIFS(I4:I309,Z570,M4:M309,3)</f>
        <v>16</v>
      </c>
      <c r="AC570" s="19">
        <f>COUNTIFS(F4:F309,Z570,B4:B309,1)+COUNTIFS(I4:I309,Z570,M4:M309,1)</f>
        <v>4</v>
      </c>
      <c r="AD570" s="19">
        <f>COUNTIFS(F4:F309,Z570,B4:B309,0)+COUNTIFS(I4:I309,Z570,M4:M309,0)</f>
        <v>4</v>
      </c>
      <c r="AE570" s="19">
        <f>SUMIF(F4:F309,Z570,G4:G309)+SUMIF(I4:I309,Z570,H4:H309)</f>
        <v>71</v>
      </c>
      <c r="AF570" s="19">
        <f>SUMIF(F4:F309,Z570,H4:H309)+SUMIF(I4:I309,Z570,G4:G309)</f>
        <v>26</v>
      </c>
      <c r="AG570" s="19">
        <f t="shared" si="361"/>
        <v>45</v>
      </c>
      <c r="AH570" s="19">
        <f t="shared" ref="AH570:AH582" si="362">(AB570*3)+AC570</f>
        <v>52</v>
      </c>
      <c r="AI570" s="19">
        <f t="shared" si="360"/>
        <v>52000.521000000001</v>
      </c>
      <c r="AJ570" s="2"/>
      <c r="AW570" s="7"/>
    </row>
    <row r="571" spans="1:49" x14ac:dyDescent="0.25">
      <c r="A571" s="1"/>
      <c r="B571" s="1"/>
      <c r="C571" s="1"/>
      <c r="D571" s="64"/>
      <c r="E571" s="1"/>
      <c r="G571" s="1"/>
      <c r="H571" s="1"/>
      <c r="K571" s="64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2" t="str">
        <f t="shared" si="359"/>
        <v>Bor. Mönchengladbach</v>
      </c>
      <c r="W571" s="2">
        <f t="shared" si="357"/>
        <v>4</v>
      </c>
      <c r="Y571" s="19">
        <f>RANK(AI571,$AI$565:$AI$582,0)+COUNTIF($AI$564:AI570,AI571)</f>
        <v>4</v>
      </c>
      <c r="Z571" s="19" t="str">
        <f t="shared" si="358"/>
        <v>Bor. Mönchengladbach</v>
      </c>
      <c r="AA571" s="19">
        <f>COUNTIFS(F4:F309,Z571,G4:G309,"&gt;=0")+COUNTIFS(I4:I309,Z571,H4:H309,"&gt;=0")</f>
        <v>23</v>
      </c>
      <c r="AB571" s="19">
        <f>COUNTIFS(F4:F309,Z571,B4:B309,3)+COUNTIFS(I4:I309,Z571,M4:M309,3)</f>
        <v>14</v>
      </c>
      <c r="AC571" s="19">
        <f>COUNTIFS(F4:F309,Z571,B4:B309,1)+COUNTIFS(I4:I309,Z571,M4:M309,1)</f>
        <v>4</v>
      </c>
      <c r="AD571" s="19">
        <f>COUNTIFS(F4:F309,Z571,B4:B309,0)+COUNTIFS(I4:I309,Z571,M4:M309,0)</f>
        <v>5</v>
      </c>
      <c r="AE571" s="19">
        <f>SUMIF(F4:F309,Z571,G4:G309)+SUMIF(I4:I309,Z571,H4:H309)</f>
        <v>46</v>
      </c>
      <c r="AF571" s="19">
        <f>SUMIF(F4:F309,Z571,H4:H309)+SUMIF(I4:I309,Z571,G4:G309)</f>
        <v>27</v>
      </c>
      <c r="AG571" s="19">
        <f t="shared" si="361"/>
        <v>19</v>
      </c>
      <c r="AH571" s="19">
        <f t="shared" si="362"/>
        <v>46</v>
      </c>
      <c r="AI571" s="19">
        <f t="shared" si="360"/>
        <v>46000.236000000004</v>
      </c>
      <c r="AJ571" s="2"/>
      <c r="AW571" s="7"/>
    </row>
    <row r="572" spans="1:49" x14ac:dyDescent="0.25">
      <c r="A572" s="1"/>
      <c r="B572" s="1"/>
      <c r="C572" s="1"/>
      <c r="D572" s="64"/>
      <c r="E572" s="1"/>
      <c r="G572" s="1"/>
      <c r="H572" s="1"/>
      <c r="K572" s="64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2" t="str">
        <f t="shared" si="359"/>
        <v>Borussia Dortmund</v>
      </c>
      <c r="W572" s="2">
        <f t="shared" si="357"/>
        <v>3</v>
      </c>
      <c r="Y572" s="19">
        <f>RANK(AI572,$AI$565:$AI$582,0)+COUNTIF($AI$564:AI571,AI572)</f>
        <v>3</v>
      </c>
      <c r="Z572" s="19" t="str">
        <f t="shared" si="358"/>
        <v>Borussia Dortmund</v>
      </c>
      <c r="AA572" s="19">
        <f>COUNTIFS(F4:F309,Z572,G4:G309,"&gt;=0")+COUNTIFS(I4:I309,Z572,H4:H309,"&gt;=0")</f>
        <v>24</v>
      </c>
      <c r="AB572" s="19">
        <f>COUNTIFS(F4:F309,Z572,B4:B309,3)+COUNTIFS(I4:I309,Z572,M4:M309,3)</f>
        <v>14</v>
      </c>
      <c r="AC572" s="19">
        <f>COUNTIFS(F4:F309,Z572,B4:B309,1)+COUNTIFS(I4:I309,Z572,M4:M309,1)</f>
        <v>6</v>
      </c>
      <c r="AD572" s="19">
        <f>COUNTIFS(F4:F309,Z572,B4:B309,0)+COUNTIFS(I4:I309,Z572,M4:M309,0)</f>
        <v>4</v>
      </c>
      <c r="AE572" s="19">
        <f>SUMIF(F4:F309,Z572,G4:G309)+SUMIF(I4:I309,Z572,H4:H309)</f>
        <v>66</v>
      </c>
      <c r="AF572" s="19">
        <f>SUMIF(F4:F309,Z572,H4:H309)+SUMIF(I4:I309,Z572,G4:G309)</f>
        <v>32</v>
      </c>
      <c r="AG572" s="19">
        <f t="shared" si="361"/>
        <v>34</v>
      </c>
      <c r="AH572" s="19">
        <f t="shared" si="362"/>
        <v>48</v>
      </c>
      <c r="AI572" s="19">
        <f t="shared" si="360"/>
        <v>48000.405999999995</v>
      </c>
      <c r="AJ572" s="2"/>
      <c r="AW572" s="7"/>
    </row>
    <row r="573" spans="1:49" x14ac:dyDescent="0.25">
      <c r="A573" s="1"/>
      <c r="B573" s="1"/>
      <c r="C573" s="1"/>
      <c r="D573" s="64"/>
      <c r="E573" s="1"/>
      <c r="G573" s="1"/>
      <c r="H573" s="1"/>
      <c r="K573" s="64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2" t="str">
        <f t="shared" si="359"/>
        <v>Eintracht Frankfurt</v>
      </c>
      <c r="W573" s="2">
        <f t="shared" si="357"/>
        <v>12</v>
      </c>
      <c r="Y573" s="19">
        <f>RANK(AI573,$AI$565:$AI$582,0)+COUNTIF($AI$564:AI572,AI573)</f>
        <v>12</v>
      </c>
      <c r="Z573" s="19" t="str">
        <f t="shared" si="358"/>
        <v>Eintracht Frankfurt</v>
      </c>
      <c r="AA573" s="19">
        <f>COUNTIFS(F4:F309,Z573,G4:G309,"&gt;=0")+COUNTIFS(I4:I309,Z573,H4:H309,"&gt;=0")</f>
        <v>23</v>
      </c>
      <c r="AB573" s="19">
        <f>COUNTIFS(F4:F309,Z573,B4:B309,3)+COUNTIFS(I4:I309,Z573,M4:M309,3)</f>
        <v>8</v>
      </c>
      <c r="AC573" s="19">
        <f>COUNTIFS(F4:F309,Z573,B4:B309,1)+COUNTIFS(I4:I309,Z573,M4:M309,1)</f>
        <v>4</v>
      </c>
      <c r="AD573" s="19">
        <f>COUNTIFS(F4:F309,Z573,B4:B309,0)+COUNTIFS(I4:I309,Z573,M4:M309,0)</f>
        <v>11</v>
      </c>
      <c r="AE573" s="19">
        <f>SUMIF(F4:F309,Z573,G4:G309)+SUMIF(I4:I309,Z573,H4:H309)</f>
        <v>38</v>
      </c>
      <c r="AF573" s="19">
        <f>SUMIF(F4:F309,Z573,H4:H309)+SUMIF(I4:I309,Z573,G4:G309)</f>
        <v>37</v>
      </c>
      <c r="AG573" s="19">
        <f t="shared" si="361"/>
        <v>1</v>
      </c>
      <c r="AH573" s="19">
        <f t="shared" si="362"/>
        <v>28</v>
      </c>
      <c r="AI573" s="19">
        <f t="shared" si="360"/>
        <v>28000.047999999999</v>
      </c>
      <c r="AJ573" s="2"/>
      <c r="AW573" s="7"/>
    </row>
    <row r="574" spans="1:49" x14ac:dyDescent="0.25">
      <c r="A574" s="1"/>
      <c r="B574" s="1"/>
      <c r="C574" s="1"/>
      <c r="D574" s="64"/>
      <c r="E574" s="1"/>
      <c r="G574" s="1"/>
      <c r="H574" s="1"/>
      <c r="K574" s="64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2" t="str">
        <f t="shared" si="359"/>
        <v>FC Augsburg</v>
      </c>
      <c r="W574" s="2">
        <f t="shared" si="357"/>
        <v>13</v>
      </c>
      <c r="Y574" s="19">
        <f>RANK(AI574,$AI$565:$AI$582,0)+COUNTIF($AI$564:AI573,AI574)</f>
        <v>13</v>
      </c>
      <c r="Z574" s="19" t="str">
        <f t="shared" si="358"/>
        <v>FC Augsburg</v>
      </c>
      <c r="AA574" s="19">
        <f>COUNTIFS(F4:F309,Z574,G4:G309,"&gt;=0")+COUNTIFS(I4:I309,Z574,H4:H309,"&gt;=0")</f>
        <v>24</v>
      </c>
      <c r="AB574" s="19">
        <f>COUNTIFS(F4:F309,Z574,B4:B309,3)+COUNTIFS(I4:I309,Z574,M4:M309,3)</f>
        <v>7</v>
      </c>
      <c r="AC574" s="19">
        <f>COUNTIFS(F4:F309,Z574,B4:B309,1)+COUNTIFS(I4:I309,Z574,M4:M309,1)</f>
        <v>6</v>
      </c>
      <c r="AD574" s="19">
        <f>COUNTIFS(F4:F309,Z574,B4:B309,0)+COUNTIFS(I4:I309,Z574,M4:M309,0)</f>
        <v>11</v>
      </c>
      <c r="AE574" s="19">
        <f>SUMIF(F4:F309,Z574,G4:G309)+SUMIF(I4:I309,Z574,H4:H309)</f>
        <v>36</v>
      </c>
      <c r="AF574" s="19">
        <f>SUMIF(F4:F309,Z574,H4:H309)+SUMIF(I4:I309,Z574,G4:G309)</f>
        <v>50</v>
      </c>
      <c r="AG574" s="19">
        <f t="shared" si="361"/>
        <v>-14</v>
      </c>
      <c r="AH574" s="19">
        <f t="shared" si="362"/>
        <v>27</v>
      </c>
      <c r="AI574" s="19">
        <f t="shared" si="360"/>
        <v>26999.896000000001</v>
      </c>
      <c r="AJ574" s="2"/>
      <c r="AW574" s="7"/>
    </row>
    <row r="575" spans="1:49" x14ac:dyDescent="0.25">
      <c r="A575" s="1"/>
      <c r="B575" s="1"/>
      <c r="C575" s="1"/>
      <c r="D575" s="64"/>
      <c r="E575" s="1"/>
      <c r="G575" s="1"/>
      <c r="H575" s="1"/>
      <c r="K575" s="64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2" t="str">
        <f t="shared" si="359"/>
        <v>FC Schalke 04</v>
      </c>
      <c r="W575" s="2">
        <f t="shared" si="357"/>
        <v>6</v>
      </c>
      <c r="Y575" s="19">
        <f>RANK(AI575,$AI$565:$AI$582,0)+COUNTIF($AI$564:AI574,AI575)</f>
        <v>6</v>
      </c>
      <c r="Z575" s="19" t="str">
        <f t="shared" si="358"/>
        <v>FC Schalke 04</v>
      </c>
      <c r="AA575" s="19">
        <f>COUNTIFS(F4:F309,Z575,G4:G309,"&gt;=0")+COUNTIFS(I4:I309,Z575,H4:H309,"&gt;=0")</f>
        <v>24</v>
      </c>
      <c r="AB575" s="19">
        <f>COUNTIFS(F4:F309,Z575,B4:B309,3)+COUNTIFS(I4:I309,Z575,M4:M309,3)</f>
        <v>9</v>
      </c>
      <c r="AC575" s="19">
        <f>COUNTIFS(F4:F309,Z575,B4:B309,1)+COUNTIFS(I4:I309,Z575,M4:M309,1)</f>
        <v>9</v>
      </c>
      <c r="AD575" s="19">
        <f>COUNTIFS(F4:F309,Z575,B4:B309,0)+COUNTIFS(I4:I309,Z575,M4:M309,0)</f>
        <v>6</v>
      </c>
      <c r="AE575" s="19">
        <f>SUMIF(F4:F309,Z575,G4:G309)+SUMIF(I4:I309,Z575,H4:H309)</f>
        <v>32</v>
      </c>
      <c r="AF575" s="19">
        <f>SUMIF(F4:F309,Z575,H4:H309)+SUMIF(I4:I309,Z575,G4:G309)</f>
        <v>35</v>
      </c>
      <c r="AG575" s="19">
        <f t="shared" si="361"/>
        <v>-3</v>
      </c>
      <c r="AH575" s="19">
        <f t="shared" si="362"/>
        <v>36</v>
      </c>
      <c r="AI575" s="19">
        <f t="shared" si="360"/>
        <v>36000.002</v>
      </c>
      <c r="AJ575" s="2"/>
      <c r="AW575" s="7"/>
    </row>
    <row r="576" spans="1:49" x14ac:dyDescent="0.25">
      <c r="A576" s="1"/>
      <c r="B576" s="1"/>
      <c r="C576" s="1"/>
      <c r="D576" s="64"/>
      <c r="E576" s="1"/>
      <c r="G576" s="1"/>
      <c r="H576" s="1"/>
      <c r="K576" s="64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2" t="str">
        <f t="shared" si="359"/>
        <v>Fortuna Düsseldorf</v>
      </c>
      <c r="W576" s="2">
        <f t="shared" si="357"/>
        <v>16</v>
      </c>
      <c r="Y576" s="19">
        <f>RANK(AI576,$AI$565:$AI$582,0)+COUNTIF($AI$564:AI575,AI576)</f>
        <v>16</v>
      </c>
      <c r="Z576" s="19" t="str">
        <f t="shared" si="358"/>
        <v>Fortuna Düsseldorf</v>
      </c>
      <c r="AA576" s="19">
        <f>COUNTIFS(F4:F309,Z576,G4:G309,"&gt;=0")+COUNTIFS(I4:I309,Z576,H4:H309,"&gt;=0")</f>
        <v>24</v>
      </c>
      <c r="AB576" s="19">
        <f>COUNTIFS(F4:F309,Z576,B4:B309,3)+COUNTIFS(I4:I309,Z576,M4:M309,3)</f>
        <v>5</v>
      </c>
      <c r="AC576" s="19">
        <f>COUNTIFS(F4:F309,Z576,B4:B309,1)+COUNTIFS(I4:I309,Z576,M4:M309,1)</f>
        <v>6</v>
      </c>
      <c r="AD576" s="19">
        <f>COUNTIFS(F4:F309,Z576,B4:B309,0)+COUNTIFS(I4:I309,Z576,M4:M309,0)</f>
        <v>13</v>
      </c>
      <c r="AE576" s="19">
        <f>SUMIF(F4:F309,Z576,G4:G309)+SUMIF(I4:I309,Z576,H4:H309)</f>
        <v>26</v>
      </c>
      <c r="AF576" s="19">
        <f>SUMIF(F4:F309,Z576,H4:H309)+SUMIF(I4:I309,Z576,G4:G309)</f>
        <v>49</v>
      </c>
      <c r="AG576" s="19">
        <f t="shared" si="361"/>
        <v>-23</v>
      </c>
      <c r="AH576" s="19">
        <f t="shared" si="362"/>
        <v>21</v>
      </c>
      <c r="AI576" s="19">
        <f t="shared" si="360"/>
        <v>20999.796000000002</v>
      </c>
      <c r="AW576" s="7"/>
    </row>
    <row r="577" spans="1:49" x14ac:dyDescent="0.25">
      <c r="A577" s="1"/>
      <c r="B577" s="1"/>
      <c r="C577" s="1"/>
      <c r="D577" s="64"/>
      <c r="E577" s="1"/>
      <c r="G577" s="1"/>
      <c r="H577" s="1"/>
      <c r="K577" s="64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2" t="str">
        <f t="shared" si="359"/>
        <v>Hertha BSC</v>
      </c>
      <c r="W577" s="2">
        <f t="shared" si="357"/>
        <v>14</v>
      </c>
      <c r="Y577" s="19">
        <f>RANK(AI577,$AI$565:$AI$582,0)+COUNTIF($AI$564:AI576,AI577)</f>
        <v>14</v>
      </c>
      <c r="Z577" s="19" t="str">
        <f t="shared" si="358"/>
        <v>Hertha BSC</v>
      </c>
      <c r="AA577" s="19">
        <f>COUNTIFS(F4:F309,Z577,G4:G309,"&gt;=0")+COUNTIFS(I4:I309,Z577,H4:H309,"&gt;=0")</f>
        <v>24</v>
      </c>
      <c r="AB577" s="19">
        <f>COUNTIFS(F4:F309,Z577,B4:B309,3)+COUNTIFS(I4:I309,Z577,M4:M309,3)</f>
        <v>7</v>
      </c>
      <c r="AC577" s="19">
        <f>COUNTIFS(F4:F309,Z577,B4:B309,1)+COUNTIFS(I4:I309,Z577,M4:M309,1)</f>
        <v>6</v>
      </c>
      <c r="AD577" s="19">
        <f>COUNTIFS(F4:F309,Z577,B4:B309,0)+COUNTIFS(I4:I309,Z577,M4:M309,0)</f>
        <v>11</v>
      </c>
      <c r="AE577" s="19">
        <f>SUMIF(F4:F309,Z577,G4:G309)+SUMIF(I4:I309,Z577,H4:H309)</f>
        <v>30</v>
      </c>
      <c r="AF577" s="19">
        <f>SUMIF(F4:F309,Z577,H4:H309)+SUMIF(I4:I309,Z577,G4:G309)</f>
        <v>46</v>
      </c>
      <c r="AG577" s="19">
        <f t="shared" si="361"/>
        <v>-16</v>
      </c>
      <c r="AH577" s="19">
        <f t="shared" si="362"/>
        <v>27</v>
      </c>
      <c r="AI577" s="19">
        <f t="shared" si="360"/>
        <v>26999.87</v>
      </c>
      <c r="AJ577" s="2"/>
      <c r="AW577" s="7"/>
    </row>
    <row r="578" spans="1:49" x14ac:dyDescent="0.25">
      <c r="A578" s="1"/>
      <c r="B578" s="1"/>
      <c r="C578" s="1"/>
      <c r="D578" s="64"/>
      <c r="E578" s="1"/>
      <c r="G578" s="1"/>
      <c r="H578" s="1"/>
      <c r="K578" s="64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2" t="str">
        <f t="shared" si="359"/>
        <v>RB Leipzig</v>
      </c>
      <c r="W578" s="2">
        <f t="shared" si="357"/>
        <v>2</v>
      </c>
      <c r="Y578" s="19">
        <f>RANK(AI578,$AI$565:$AI$582,0)+COUNTIF($AI$564:AI577,AI578)</f>
        <v>2</v>
      </c>
      <c r="Z578" s="19" t="str">
        <f t="shared" si="358"/>
        <v>RB Leipzig</v>
      </c>
      <c r="AA578" s="19">
        <f>COUNTIFS(F4:F309,Z578,G4:G309,"&gt;=0")+COUNTIFS(I4:I309,Z578,H4:H309,"&gt;=0")</f>
        <v>24</v>
      </c>
      <c r="AB578" s="19">
        <f>COUNTIFS(F4:F309,Z578,B4:B309,3)+COUNTIFS(I4:I309,Z578,M4:M309,3)</f>
        <v>14</v>
      </c>
      <c r="AC578" s="19">
        <f>COUNTIFS(F4:F309,Z578,B4:B309,1)+COUNTIFS(I4:I309,Z578,M4:M309,1)</f>
        <v>7</v>
      </c>
      <c r="AD578" s="19">
        <f>COUNTIFS(F4:F309,Z578,B4:B309,0)+COUNTIFS(I4:I309,Z578,M4:M309,0)</f>
        <v>3</v>
      </c>
      <c r="AE578" s="19">
        <f>SUMIF(F4:F309,Z578,G4:G309)+SUMIF(I4:I309,Z578,H4:H309)</f>
        <v>62</v>
      </c>
      <c r="AF578" s="19">
        <f>SUMIF(F4:F309,Z578,H4:H309)+SUMIF(I4:I309,Z578,G4:G309)</f>
        <v>26</v>
      </c>
      <c r="AG578" s="19">
        <f t="shared" si="361"/>
        <v>36</v>
      </c>
      <c r="AH578" s="19">
        <f t="shared" si="362"/>
        <v>49</v>
      </c>
      <c r="AI578" s="19">
        <f t="shared" si="360"/>
        <v>49000.421999999999</v>
      </c>
      <c r="AJ578" s="2"/>
      <c r="AW578" s="7"/>
    </row>
    <row r="579" spans="1:49" x14ac:dyDescent="0.25">
      <c r="A579" s="1"/>
      <c r="B579" s="1"/>
      <c r="C579" s="1"/>
      <c r="D579" s="64"/>
      <c r="E579" s="1"/>
      <c r="G579" s="1"/>
      <c r="H579" s="1"/>
      <c r="K579" s="64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2" t="str">
        <f t="shared" si="359"/>
        <v>SC Freiburg</v>
      </c>
      <c r="W579" s="2">
        <f t="shared" si="357"/>
        <v>9</v>
      </c>
      <c r="Y579" s="19">
        <f>RANK(AI579,$AI$565:$AI$582,0)+COUNTIF($AI$564:AI578,AI579)</f>
        <v>9</v>
      </c>
      <c r="Z579" s="19" t="str">
        <f t="shared" si="358"/>
        <v>SC Freiburg</v>
      </c>
      <c r="AA579" s="19">
        <f>COUNTIFS(F4:F309,Z579,G4:G309,"&gt;=0")+COUNTIFS(I4:I309,Z579,H4:H309,"&gt;=0")</f>
        <v>24</v>
      </c>
      <c r="AB579" s="19">
        <f>COUNTIFS(F4:F309,Z579,B4:B309,3)+COUNTIFS(I4:I309,Z579,M4:M309,3)</f>
        <v>9</v>
      </c>
      <c r="AC579" s="19">
        <f>COUNTIFS(F4:F309,Z579,B4:B309,1)+COUNTIFS(I4:I309,Z579,M4:M309,1)</f>
        <v>6</v>
      </c>
      <c r="AD579" s="19">
        <f>COUNTIFS(F4:F309,Z579,B4:B309,0)+COUNTIFS(I4:I309,Z579,M4:M309,0)</f>
        <v>9</v>
      </c>
      <c r="AE579" s="19">
        <f>SUMIF(F4:F309,Z579,G4:G309)+SUMIF(I4:I309,Z579,H4:H309)</f>
        <v>31</v>
      </c>
      <c r="AF579" s="19">
        <f>SUMIF(F4:F309,Z579,H4:H309)+SUMIF(I4:I309,Z579,G4:G309)</f>
        <v>34</v>
      </c>
      <c r="AG579" s="19">
        <f t="shared" si="361"/>
        <v>-3</v>
      </c>
      <c r="AH579" s="19">
        <f t="shared" si="362"/>
        <v>33</v>
      </c>
      <c r="AI579" s="19">
        <f t="shared" si="360"/>
        <v>33000.001000000004</v>
      </c>
      <c r="AJ579" s="2"/>
      <c r="AW579" s="7"/>
    </row>
    <row r="580" spans="1:49" x14ac:dyDescent="0.25">
      <c r="A580" s="1"/>
      <c r="B580" s="1"/>
      <c r="C580" s="1"/>
      <c r="D580" s="64"/>
      <c r="E580" s="1"/>
      <c r="G580" s="1"/>
      <c r="H580" s="1"/>
      <c r="K580" s="64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2" t="str">
        <f t="shared" si="359"/>
        <v>SC Paderborn 07</v>
      </c>
      <c r="W580" s="2">
        <f t="shared" si="357"/>
        <v>18</v>
      </c>
      <c r="Y580" s="19">
        <f>RANK(AI580,$AI$565:$AI$582,0)+COUNTIF($AI$564:AI579,AI580)</f>
        <v>18</v>
      </c>
      <c r="Z580" s="19" t="str">
        <f t="shared" si="358"/>
        <v>SC Paderborn 07</v>
      </c>
      <c r="AA580" s="19">
        <f>COUNTIFS(F4:F309,Z580,G4:G309,"&gt;=0")+COUNTIFS(I4:I309,Z580,H4:H309,"&gt;=0")</f>
        <v>24</v>
      </c>
      <c r="AB580" s="19">
        <f>COUNTIFS(F4:F309,Z580,B4:B309,3)+COUNTIFS(I4:I309,Z580,M4:M309,3)</f>
        <v>4</v>
      </c>
      <c r="AC580" s="19">
        <f>COUNTIFS(F4:F309,Z580,B4:B309,1)+COUNTIFS(I4:I309,Z580,M4:M309,1)</f>
        <v>4</v>
      </c>
      <c r="AD580" s="19">
        <f>COUNTIFS(F4:F309,Z580,B4:B309,0)+COUNTIFS(I4:I309,Z580,M4:M309,0)</f>
        <v>16</v>
      </c>
      <c r="AE580" s="19">
        <f>SUMIF(F4:F309,Z580,G4:G309)+SUMIF(I4:I309,Z580,H4:H309)</f>
        <v>29</v>
      </c>
      <c r="AF580" s="19">
        <f>SUMIF(F4:F309,Z580,H4:H309)+SUMIF(I4:I309,Z580,G4:G309)</f>
        <v>52</v>
      </c>
      <c r="AG580" s="19">
        <f t="shared" si="361"/>
        <v>-23</v>
      </c>
      <c r="AH580" s="19">
        <f t="shared" si="362"/>
        <v>16</v>
      </c>
      <c r="AI580" s="19">
        <f t="shared" si="360"/>
        <v>15999.799000000001</v>
      </c>
      <c r="AJ580" s="2"/>
      <c r="AW580" s="7"/>
    </row>
    <row r="581" spans="1:49" x14ac:dyDescent="0.25">
      <c r="A581" s="1"/>
      <c r="B581" s="1"/>
      <c r="C581" s="1"/>
      <c r="D581" s="64"/>
      <c r="E581" s="1"/>
      <c r="G581" s="1"/>
      <c r="H581" s="1"/>
      <c r="K581" s="64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2" t="str">
        <f t="shared" si="359"/>
        <v>VfL Wolfsburg</v>
      </c>
      <c r="W581" s="2">
        <f t="shared" si="357"/>
        <v>7</v>
      </c>
      <c r="Y581" s="19">
        <f>RANK(AI581,$AI$565:$AI$582,0)+COUNTIF($AI$564:AI580,AI581)</f>
        <v>7</v>
      </c>
      <c r="Z581" s="19" t="str">
        <f t="shared" si="358"/>
        <v>VfL Wolfsburg</v>
      </c>
      <c r="AA581" s="19">
        <f>COUNTIFS(F4:F309,Z581,G4:G309,"&gt;=0")+COUNTIFS(I4:I309,Z581,H4:H309,"&gt;=0")</f>
        <v>24</v>
      </c>
      <c r="AB581" s="19">
        <f>COUNTIFS(F4:F309,Z581,B4:B309,3)+COUNTIFS(I4:I309,Z581,M4:M309,3)</f>
        <v>9</v>
      </c>
      <c r="AC581" s="19">
        <f>COUNTIFS(F4:F309,Z581,B4:B309,1)+COUNTIFS(I4:I309,Z581,M4:M309,1)</f>
        <v>8</v>
      </c>
      <c r="AD581" s="19">
        <f>COUNTIFS(F4:F309,Z581,B4:B309,0)+COUNTIFS(I4:I309,Z581,M4:M309,0)</f>
        <v>7</v>
      </c>
      <c r="AE581" s="19">
        <f>SUMIF(F4:F309,Z581,G4:G309)+SUMIF(I4:I309,Z581,H4:H309)</f>
        <v>34</v>
      </c>
      <c r="AF581" s="19">
        <f>SUMIF(F4:F309,Z581,H4:H309)+SUMIF(I4:I309,Z581,G4:G309)</f>
        <v>30</v>
      </c>
      <c r="AG581" s="19">
        <f t="shared" si="361"/>
        <v>4</v>
      </c>
      <c r="AH581" s="19">
        <f t="shared" si="362"/>
        <v>35</v>
      </c>
      <c r="AI581" s="19">
        <f t="shared" si="360"/>
        <v>35000.074000000001</v>
      </c>
      <c r="AJ581" s="2"/>
      <c r="AW581" s="7"/>
    </row>
    <row r="582" spans="1:49" x14ac:dyDescent="0.25">
      <c r="A582" s="1"/>
      <c r="B582" s="1"/>
      <c r="C582" s="1"/>
      <c r="D582" s="64"/>
      <c r="E582" s="1"/>
      <c r="G582" s="1"/>
      <c r="H582" s="1"/>
      <c r="K582" s="64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2" t="str">
        <f t="shared" si="359"/>
        <v>Werder Bremen</v>
      </c>
      <c r="W582" s="2">
        <f t="shared" si="357"/>
        <v>17</v>
      </c>
      <c r="Y582" s="19">
        <f>RANK(AI582,$AI$565:$AI$582,0)+COUNTIF($AI$564:AI581,AI582)</f>
        <v>17</v>
      </c>
      <c r="Z582" s="19" t="str">
        <f t="shared" si="358"/>
        <v>Werder Bremen</v>
      </c>
      <c r="AA582" s="19">
        <f>COUNTIFS(F4:F309,Z582,G4:G309,"&gt;=0")+COUNTIFS(I4:I309,Z582,H4:H309,"&gt;=0")</f>
        <v>23</v>
      </c>
      <c r="AB582" s="19">
        <f>COUNTIFS(F4:F309,Z582,B4:B309,3)+COUNTIFS(I4:I309,Z582,M4:M309,3)</f>
        <v>4</v>
      </c>
      <c r="AC582" s="19">
        <f>COUNTIFS(F4:F309,Z582,B4:B309,1)+COUNTIFS(I4:I309,Z582,M4:M309,1)</f>
        <v>5</v>
      </c>
      <c r="AD582" s="19">
        <f>COUNTIFS(F4:F309,Z582,B4:B309,0)+COUNTIFS(I4:I309,Z582,M4:M309,0)</f>
        <v>14</v>
      </c>
      <c r="AE582" s="19">
        <f>SUMIF(F4:F309,Z582,G4:G309)+SUMIF(I4:I309,Z582,H4:H309)</f>
        <v>25</v>
      </c>
      <c r="AF582" s="19">
        <f>SUMIF(F4:F309,Z582,H4:H309)+SUMIF(I4:I309,Z582,G4:G309)</f>
        <v>53</v>
      </c>
      <c r="AG582" s="19">
        <f t="shared" si="361"/>
        <v>-28</v>
      </c>
      <c r="AH582" s="19">
        <f t="shared" si="362"/>
        <v>17</v>
      </c>
      <c r="AI582" s="19">
        <f t="shared" si="360"/>
        <v>16999.745000000003</v>
      </c>
      <c r="AJ582" s="2"/>
      <c r="AW582" s="7"/>
    </row>
    <row r="583" spans="1:49" x14ac:dyDescent="0.25">
      <c r="A583" s="1"/>
      <c r="B583" s="1"/>
      <c r="C583" s="1"/>
      <c r="D583" s="64"/>
      <c r="E583" s="1"/>
      <c r="G583" s="1"/>
      <c r="H583" s="1"/>
      <c r="K583" s="64"/>
      <c r="L583" s="1"/>
      <c r="M583" s="1"/>
      <c r="N583" s="1"/>
      <c r="O583" s="1"/>
      <c r="P583" s="1"/>
      <c r="Q583" s="1"/>
      <c r="R583" s="1"/>
      <c r="S583" s="1"/>
      <c r="T583" s="1"/>
      <c r="U583" s="1"/>
      <c r="AJ583" s="2"/>
      <c r="AW583" s="7"/>
    </row>
    <row r="584" spans="1:49" x14ac:dyDescent="0.25">
      <c r="A584" s="1"/>
      <c r="B584" s="1"/>
      <c r="C584" s="1"/>
      <c r="D584" s="64"/>
      <c r="E584" s="1"/>
      <c r="G584" s="1"/>
      <c r="H584" s="1"/>
      <c r="K584" s="64"/>
      <c r="L584" s="1"/>
      <c r="M584" s="1"/>
      <c r="N584" s="1"/>
      <c r="O584" s="1"/>
      <c r="P584" s="1"/>
      <c r="Q584" s="1"/>
      <c r="R584" s="1"/>
      <c r="S584" s="1"/>
      <c r="T584" s="1"/>
      <c r="U584" s="1"/>
      <c r="W584" s="18">
        <v>29</v>
      </c>
      <c r="Y584" s="19"/>
      <c r="Z584" s="19" t="s">
        <v>1</v>
      </c>
      <c r="AA584" s="19" t="s">
        <v>2</v>
      </c>
      <c r="AB584" s="19" t="s">
        <v>3</v>
      </c>
      <c r="AC584" s="19" t="s">
        <v>4</v>
      </c>
      <c r="AD584" s="19" t="s">
        <v>5</v>
      </c>
      <c r="AE584" s="19" t="s">
        <v>6</v>
      </c>
      <c r="AF584" s="19" t="s">
        <v>7</v>
      </c>
      <c r="AG584" s="19" t="s">
        <v>8</v>
      </c>
      <c r="AH584" s="19" t="s">
        <v>9</v>
      </c>
      <c r="AI584" s="19" t="s">
        <v>0</v>
      </c>
      <c r="AJ584" s="2"/>
      <c r="AW584" s="7"/>
    </row>
    <row r="585" spans="1:49" x14ac:dyDescent="0.25">
      <c r="A585" s="1"/>
      <c r="B585" s="1"/>
      <c r="C585" s="1"/>
      <c r="D585" s="64"/>
      <c r="E585" s="1"/>
      <c r="G585" s="1"/>
      <c r="H585" s="1"/>
      <c r="K585" s="64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2" t="str">
        <f>CONCATENATE(Z585)</f>
        <v>1. FC Köln</v>
      </c>
      <c r="W585" s="2">
        <f t="shared" ref="W585:W602" si="363">Y585</f>
        <v>11</v>
      </c>
      <c r="Y585" s="19">
        <f>RANK(AI585,$AI$585:$AI$602,0)+COUNTIF($AI$584:AI584,AI585)</f>
        <v>11</v>
      </c>
      <c r="Z585" s="19" t="str">
        <f t="shared" ref="Z585:Z602" si="364">CONCATENATE(Z5)</f>
        <v>1. FC Köln</v>
      </c>
      <c r="AA585" s="19">
        <f>COUNTIFS(F4:F320,Z585,G4:G320,"&gt;=0")+COUNTIFS(I4:I320,Z585,H4:H320,"&gt;=0")</f>
        <v>23</v>
      </c>
      <c r="AB585" s="19">
        <f>COUNTIFS(F4:F320,Z585,B4:B320,3)+COUNTIFS(I4:I320,Z585,M4:M320,3)</f>
        <v>9</v>
      </c>
      <c r="AC585" s="19">
        <f>COUNTIFS(F4:F320,Z585,B4:B320,1)+COUNTIFS(I4:I320,Z585,M4:M320,1)</f>
        <v>2</v>
      </c>
      <c r="AD585" s="19">
        <f>COUNTIFS(F4:F320,Z585,B4:B320,0)+COUNTIFS(I4:I320,Z585,M4:M320,0)</f>
        <v>12</v>
      </c>
      <c r="AE585" s="19">
        <f>SUMIF(F4:F320,Z585,G4:G320)+SUMIF(I4:I320,Z585,H4:H320)</f>
        <v>36</v>
      </c>
      <c r="AF585" s="19">
        <f>SUMIF(F4:F320,Z585,H4:H320)+SUMIF(I4:I320,Z585,G4:G320)</f>
        <v>42</v>
      </c>
      <c r="AG585" s="19">
        <f>+AE585-AF585</f>
        <v>-6</v>
      </c>
      <c r="AH585" s="19">
        <f>(AB585*3)+AC585</f>
        <v>29</v>
      </c>
      <c r="AI585" s="19">
        <f>SUM(AH585*1000+(AG585)/100+(AE585)/1000)</f>
        <v>28999.975999999999</v>
      </c>
      <c r="AJ585" s="2"/>
      <c r="AW585" s="7"/>
    </row>
    <row r="586" spans="1:49" x14ac:dyDescent="0.25">
      <c r="A586" s="1"/>
      <c r="B586" s="1"/>
      <c r="C586" s="1"/>
      <c r="D586" s="64"/>
      <c r="E586" s="1"/>
      <c r="G586" s="1"/>
      <c r="H586" s="1"/>
      <c r="K586" s="64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2" t="str">
        <f t="shared" ref="V586:V602" si="365">CONCATENATE(Z586)</f>
        <v>1. FC Union Berlin</v>
      </c>
      <c r="W586" s="2">
        <f t="shared" si="363"/>
        <v>10</v>
      </c>
      <c r="Y586" s="19">
        <f>RANK(AI586,$AI$585:$AI$602,0)+COUNTIF($AI$584:AI585,AI586)</f>
        <v>10</v>
      </c>
      <c r="Z586" s="19" t="str">
        <f t="shared" si="364"/>
        <v>1. FC Union Berlin</v>
      </c>
      <c r="AA586" s="19">
        <f>COUNTIFS(F4:F320,Z586,G4:G320,"&gt;=0")+COUNTIFS(I4:I320,Z586,H4:H320,"&gt;=0")</f>
        <v>24</v>
      </c>
      <c r="AB586" s="19">
        <f>COUNTIFS(F4:F320,Z586,B4:B320,3)+COUNTIFS(I4:I320,Z586,M4:M320,3)</f>
        <v>9</v>
      </c>
      <c r="AC586" s="19">
        <f>COUNTIFS(F4:F320,Z586,B4:B320,1)+COUNTIFS(I4:I320,Z586,M4:M320,1)</f>
        <v>3</v>
      </c>
      <c r="AD586" s="19">
        <f>COUNTIFS(F4:F320,Z586,B4:B320,0)+COUNTIFS(I4:I320,Z586,M4:M320,0)</f>
        <v>12</v>
      </c>
      <c r="AE586" s="19">
        <f>SUMIF(F4:F320,Z586,G4:G320)+SUMIF(I4:I320,Z586,H4:H320)</f>
        <v>31</v>
      </c>
      <c r="AF586" s="19">
        <f>SUMIF(F4:F320,Z586,H4:H320)+SUMIF(I4:I320,Z586,G4:G320)</f>
        <v>38</v>
      </c>
      <c r="AG586" s="19">
        <f>+AE586-AF586</f>
        <v>-7</v>
      </c>
      <c r="AH586" s="19">
        <f>(AB586*3)+AC586</f>
        <v>30</v>
      </c>
      <c r="AI586" s="19">
        <f t="shared" ref="AI586:AI602" si="366">SUM(AH586*1000+(AG586)/100+(AE586)/1000)</f>
        <v>29999.960999999999</v>
      </c>
      <c r="AJ586" s="2"/>
      <c r="AW586" s="7"/>
    </row>
    <row r="587" spans="1:49" x14ac:dyDescent="0.25">
      <c r="A587" s="1"/>
      <c r="B587" s="1"/>
      <c r="C587" s="1"/>
      <c r="D587" s="64"/>
      <c r="E587" s="1"/>
      <c r="G587" s="1"/>
      <c r="H587" s="1"/>
      <c r="K587" s="64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2" t="str">
        <f t="shared" si="365"/>
        <v>1. FSV Mainz 05</v>
      </c>
      <c r="W587" s="2">
        <f t="shared" si="363"/>
        <v>15</v>
      </c>
      <c r="Y587" s="19">
        <f>RANK(AI587,$AI$585:$AI$602,0)+COUNTIF($AI$584:AI586,AI587)</f>
        <v>15</v>
      </c>
      <c r="Z587" s="19" t="str">
        <f t="shared" si="364"/>
        <v>1. FSV Mainz 05</v>
      </c>
      <c r="AA587" s="19">
        <f>COUNTIFS(F4:F320,Z587,G4:G320,"&gt;=0")+COUNTIFS(I4:I320,Z587,H4:H320,"&gt;=0")</f>
        <v>24</v>
      </c>
      <c r="AB587" s="19">
        <f>COUNTIFS(F4:F320,Z587,B4:B320,3)+COUNTIFS(I4:I320,Z587,M4:M320,3)</f>
        <v>8</v>
      </c>
      <c r="AC587" s="19">
        <f>COUNTIFS(F4:F320,Z587,B4:B320,1)+COUNTIFS(I4:I320,Z587,M4:M320,1)</f>
        <v>1</v>
      </c>
      <c r="AD587" s="19">
        <f>COUNTIFS(F4:F320,Z587,B4:B320,0)+COUNTIFS(I4:I320,Z587,M4:M320,0)</f>
        <v>15</v>
      </c>
      <c r="AE587" s="19">
        <f>SUMIF(F4:F320,Z587,G4:G320)+SUMIF(I4:I320,Z587,H4:H320)</f>
        <v>33</v>
      </c>
      <c r="AF587" s="19">
        <f>SUMIF(F4:F320,Z587,H4:H320)+SUMIF(I4:I320,Z587,G4:G320)</f>
        <v>52</v>
      </c>
      <c r="AG587" s="19">
        <f>+AE587-AF587</f>
        <v>-19</v>
      </c>
      <c r="AH587" s="19">
        <f>(AB587*3)+AC587</f>
        <v>25</v>
      </c>
      <c r="AI587" s="19">
        <f t="shared" si="366"/>
        <v>24999.843000000001</v>
      </c>
      <c r="AJ587" s="2"/>
      <c r="AW587" s="7"/>
    </row>
    <row r="588" spans="1:49" x14ac:dyDescent="0.25">
      <c r="A588" s="1"/>
      <c r="B588" s="1"/>
      <c r="C588" s="1"/>
      <c r="D588" s="64"/>
      <c r="E588" s="1"/>
      <c r="G588" s="1"/>
      <c r="H588" s="1"/>
      <c r="K588" s="64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2" t="str">
        <f t="shared" si="365"/>
        <v>1899 Hoffenheim</v>
      </c>
      <c r="W588" s="2">
        <f t="shared" si="363"/>
        <v>8</v>
      </c>
      <c r="Y588" s="19">
        <f>RANK(AI588,$AI$585:$AI$602,0)+COUNTIF($AI$584:AI587,AI588)</f>
        <v>8</v>
      </c>
      <c r="Z588" s="19" t="str">
        <f t="shared" si="364"/>
        <v>1899 Hoffenheim</v>
      </c>
      <c r="AA588" s="19">
        <f>COUNTIFS(F4:F320,Z588,G4:G320,"&gt;=0")+COUNTIFS(I4:I320,Z588,H4:H320,"&gt;=0")</f>
        <v>24</v>
      </c>
      <c r="AB588" s="19">
        <f>COUNTIFS(F4:F320,Z588,B4:B320,3)+COUNTIFS(I4:I320,Z588,M4:M320,3)</f>
        <v>10</v>
      </c>
      <c r="AC588" s="19">
        <f>COUNTIFS(F4:F320,Z588,B4:B320,1)+COUNTIFS(I4:I320,Z588,M4:M320,1)</f>
        <v>4</v>
      </c>
      <c r="AD588" s="19">
        <f>COUNTIFS(F4:F320,Z588,B4:B320,0)+COUNTIFS(I4:I320,Z588,M4:M320,0)</f>
        <v>10</v>
      </c>
      <c r="AE588" s="19">
        <f>SUMIF(F4:F320,Z588,G4:G320)+SUMIF(I4:I320,Z588,H4:H320)</f>
        <v>34</v>
      </c>
      <c r="AF588" s="19">
        <f>SUMIF(F4:F320,Z588,H4:H320)+SUMIF(I4:I320,Z588,G4:G320)</f>
        <v>42</v>
      </c>
      <c r="AG588" s="19">
        <f t="shared" ref="AG588:AG602" si="367">+AE588-AF588</f>
        <v>-8</v>
      </c>
      <c r="AH588" s="19">
        <f>(AB588*3)+AC588</f>
        <v>34</v>
      </c>
      <c r="AI588" s="19">
        <f t="shared" si="366"/>
        <v>33999.953999999998</v>
      </c>
      <c r="AJ588" s="2"/>
      <c r="AW588" s="7"/>
    </row>
    <row r="589" spans="1:49" x14ac:dyDescent="0.25">
      <c r="A589" s="1"/>
      <c r="B589" s="1"/>
      <c r="C589" s="1"/>
      <c r="D589" s="64"/>
      <c r="E589" s="1"/>
      <c r="G589" s="1"/>
      <c r="H589" s="1"/>
      <c r="K589" s="64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2" t="str">
        <f t="shared" si="365"/>
        <v>Bayer Leverkusen</v>
      </c>
      <c r="W589" s="2">
        <f t="shared" si="363"/>
        <v>5</v>
      </c>
      <c r="Y589" s="19">
        <f>RANK(AI589,$AI$585:$AI$602,0)+COUNTIF($AI$584:AI588,AI589)</f>
        <v>5</v>
      </c>
      <c r="Z589" s="19" t="str">
        <f t="shared" si="364"/>
        <v>Bayer Leverkusen</v>
      </c>
      <c r="AA589" s="19">
        <f>COUNTIFS(F4:F320,Z589,G4:G320,"&gt;=0")+COUNTIFS(I4:I320,Z589,H4:H320,"&gt;=0")</f>
        <v>24</v>
      </c>
      <c r="AB589" s="19">
        <f>COUNTIFS(F4:F320,Z589,B4:B320,3)+COUNTIFS(I4:I320,Z589,M4:M320,3)</f>
        <v>13</v>
      </c>
      <c r="AC589" s="19">
        <f>COUNTIFS(F4:F320,Z589,B4:B320,1)+COUNTIFS(I4:I320,Z589,M4:M320,1)</f>
        <v>5</v>
      </c>
      <c r="AD589" s="19">
        <f>COUNTIFS(F4:F320,Z589,B4:B320,0)+COUNTIFS(I4:I320,Z589,M4:M320,0)</f>
        <v>6</v>
      </c>
      <c r="AE589" s="19">
        <f>SUMIF(F4:F320,Z589,G4:G320)+SUMIF(I4:I320,Z589,H4:H320)</f>
        <v>41</v>
      </c>
      <c r="AF589" s="19">
        <f>SUMIF(F4:F320,Z589,H4:H320)+SUMIF(I4:I320,Z589,G4:G320)</f>
        <v>30</v>
      </c>
      <c r="AG589" s="19">
        <f t="shared" si="367"/>
        <v>11</v>
      </c>
      <c r="AH589" s="19">
        <f>(AB589*3)+AC589</f>
        <v>44</v>
      </c>
      <c r="AI589" s="19">
        <f t="shared" si="366"/>
        <v>44000.150999999998</v>
      </c>
      <c r="AJ589" s="2"/>
      <c r="AW589" s="7"/>
    </row>
    <row r="590" spans="1:49" x14ac:dyDescent="0.25">
      <c r="A590" s="1"/>
      <c r="B590" s="1"/>
      <c r="C590" s="1"/>
      <c r="D590" s="64"/>
      <c r="E590" s="1"/>
      <c r="G590" s="1"/>
      <c r="H590" s="1"/>
      <c r="K590" s="64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2" t="str">
        <f t="shared" si="365"/>
        <v>Bayern München</v>
      </c>
      <c r="W590" s="2">
        <f t="shared" si="363"/>
        <v>1</v>
      </c>
      <c r="Y590" s="19">
        <f>RANK(AI590,$AI$585:$AI$602,0)+COUNTIF($AI$584:AI589,AI590)</f>
        <v>1</v>
      </c>
      <c r="Z590" s="19" t="str">
        <f t="shared" si="364"/>
        <v>Bayern München</v>
      </c>
      <c r="AA590" s="19">
        <f>COUNTIFS(F4:F320,Z590,G4:G320,"&gt;=0")+COUNTIFS(I4:I320,Z590,H4:H320,"&gt;=0")</f>
        <v>24</v>
      </c>
      <c r="AB590" s="19">
        <f>COUNTIFS(F4:F320,Z590,B4:B320,3)+COUNTIFS(I4:I320,Z590,M4:M320,3)</f>
        <v>16</v>
      </c>
      <c r="AC590" s="19">
        <f>COUNTIFS(F4:F320,Z590,B4:B320,1)+COUNTIFS(I4:I320,Z590,M4:M320,1)</f>
        <v>4</v>
      </c>
      <c r="AD590" s="19">
        <f>COUNTIFS(F4:F320,Z590,B4:B320,0)+COUNTIFS(I4:I320,Z590,M4:M320,0)</f>
        <v>4</v>
      </c>
      <c r="AE590" s="19">
        <f>SUMIF(F4:F320,Z590,G4:G320)+SUMIF(I4:I320,Z590,H4:H320)</f>
        <v>71</v>
      </c>
      <c r="AF590" s="19">
        <f>SUMIF(F4:F320,Z590,H4:H320)+SUMIF(I4:I320,Z590,G4:G320)</f>
        <v>26</v>
      </c>
      <c r="AG590" s="19">
        <f t="shared" si="367"/>
        <v>45</v>
      </c>
      <c r="AH590" s="19">
        <f t="shared" ref="AH590:AH602" si="368">(AB590*3)+AC590</f>
        <v>52</v>
      </c>
      <c r="AI590" s="19">
        <f t="shared" si="366"/>
        <v>52000.521000000001</v>
      </c>
      <c r="AJ590" s="2"/>
      <c r="AW590" s="7"/>
    </row>
    <row r="591" spans="1:49" x14ac:dyDescent="0.25">
      <c r="A591" s="1"/>
      <c r="B591" s="1"/>
      <c r="C591" s="1"/>
      <c r="D591" s="64"/>
      <c r="E591" s="1"/>
      <c r="G591" s="1"/>
      <c r="H591" s="1"/>
      <c r="K591" s="64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2" t="str">
        <f t="shared" si="365"/>
        <v>Bor. Mönchengladbach</v>
      </c>
      <c r="W591" s="2">
        <f t="shared" si="363"/>
        <v>4</v>
      </c>
      <c r="Y591" s="19">
        <f>RANK(AI591,$AI$585:$AI$602,0)+COUNTIF($AI$584:AI590,AI591)</f>
        <v>4</v>
      </c>
      <c r="Z591" s="19" t="str">
        <f t="shared" si="364"/>
        <v>Bor. Mönchengladbach</v>
      </c>
      <c r="AA591" s="19">
        <f>COUNTIFS(F4:F320,Z591,G4:G320,"&gt;=0")+COUNTIFS(I4:I320,Z591,H4:H320,"&gt;=0")</f>
        <v>23</v>
      </c>
      <c r="AB591" s="19">
        <f>COUNTIFS(F4:F320,Z591,B4:B320,3)+COUNTIFS(I4:I320,Z591,M4:M320,3)</f>
        <v>14</v>
      </c>
      <c r="AC591" s="19">
        <f>COUNTIFS(F4:F320,Z591,B4:B320,1)+COUNTIFS(I4:I320,Z591,M4:M320,1)</f>
        <v>4</v>
      </c>
      <c r="AD591" s="19">
        <f>COUNTIFS(F4:F320,Z591,B4:B320,0)+COUNTIFS(I4:I320,Z591,M4:M320,0)</f>
        <v>5</v>
      </c>
      <c r="AE591" s="19">
        <f>SUMIF(F4:F320,Z591,G4:G320)+SUMIF(I4:I320,Z591,H4:H320)</f>
        <v>46</v>
      </c>
      <c r="AF591" s="19">
        <f>SUMIF(F4:F320,Z591,H4:H320)+SUMIF(I4:I320,Z591,G4:G320)</f>
        <v>27</v>
      </c>
      <c r="AG591" s="19">
        <f t="shared" si="367"/>
        <v>19</v>
      </c>
      <c r="AH591" s="19">
        <f t="shared" si="368"/>
        <v>46</v>
      </c>
      <c r="AI591" s="19">
        <f t="shared" si="366"/>
        <v>46000.236000000004</v>
      </c>
      <c r="AJ591" s="2"/>
      <c r="AW591" s="7"/>
    </row>
    <row r="592" spans="1:49" x14ac:dyDescent="0.25">
      <c r="A592" s="1"/>
      <c r="B592" s="1"/>
      <c r="C592" s="1"/>
      <c r="D592" s="64"/>
      <c r="E592" s="1"/>
      <c r="G592" s="1"/>
      <c r="H592" s="1"/>
      <c r="K592" s="64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2" t="str">
        <f t="shared" si="365"/>
        <v>Borussia Dortmund</v>
      </c>
      <c r="W592" s="2">
        <f t="shared" si="363"/>
        <v>3</v>
      </c>
      <c r="Y592" s="19">
        <f>RANK(AI592,$AI$585:$AI$602,0)+COUNTIF($AI$584:AI591,AI592)</f>
        <v>3</v>
      </c>
      <c r="Z592" s="19" t="str">
        <f t="shared" si="364"/>
        <v>Borussia Dortmund</v>
      </c>
      <c r="AA592" s="19">
        <f>COUNTIFS(F4:F320,Z592,G4:G320,"&gt;=0")+COUNTIFS(I4:I320,Z592,H4:H320,"&gt;=0")</f>
        <v>24</v>
      </c>
      <c r="AB592" s="19">
        <f>COUNTIFS(F4:F320,Z592,B4:B320,3)+COUNTIFS(I4:I320,Z592,M4:M320,3)</f>
        <v>14</v>
      </c>
      <c r="AC592" s="19">
        <f>COUNTIFS(F4:F320,Z592,B4:B320,1)+COUNTIFS(I4:I320,Z592,M4:M320,1)</f>
        <v>6</v>
      </c>
      <c r="AD592" s="19">
        <f>COUNTIFS(F4:F320,Z592,B4:B320,0)+COUNTIFS(I4:I320,Z592,M4:M320,0)</f>
        <v>4</v>
      </c>
      <c r="AE592" s="19">
        <f>SUMIF(F4:F320,Z592,G4:G320)+SUMIF(I4:I320,Z592,H4:H320)</f>
        <v>66</v>
      </c>
      <c r="AF592" s="19">
        <f>SUMIF(F4:F320,Z592,H4:H320)+SUMIF(I4:I320,Z592,G4:G320)</f>
        <v>32</v>
      </c>
      <c r="AG592" s="19">
        <f t="shared" si="367"/>
        <v>34</v>
      </c>
      <c r="AH592" s="19">
        <f t="shared" si="368"/>
        <v>48</v>
      </c>
      <c r="AI592" s="19">
        <f t="shared" si="366"/>
        <v>48000.405999999995</v>
      </c>
      <c r="AJ592" s="2"/>
      <c r="AW592" s="7"/>
    </row>
    <row r="593" spans="1:49" x14ac:dyDescent="0.25">
      <c r="A593" s="1"/>
      <c r="B593" s="1"/>
      <c r="C593" s="1"/>
      <c r="D593" s="64"/>
      <c r="E593" s="1"/>
      <c r="G593" s="1"/>
      <c r="H593" s="1"/>
      <c r="K593" s="64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2" t="str">
        <f t="shared" si="365"/>
        <v>Eintracht Frankfurt</v>
      </c>
      <c r="W593" s="2">
        <f t="shared" si="363"/>
        <v>12</v>
      </c>
      <c r="Y593" s="19">
        <f>RANK(AI593,$AI$585:$AI$602,0)+COUNTIF($AI$584:AI592,AI593)</f>
        <v>12</v>
      </c>
      <c r="Z593" s="19" t="str">
        <f t="shared" si="364"/>
        <v>Eintracht Frankfurt</v>
      </c>
      <c r="AA593" s="19">
        <f>COUNTIFS(F4:F320,Z593,G4:G320,"&gt;=0")+COUNTIFS(I4:I320,Z593,H4:H320,"&gt;=0")</f>
        <v>23</v>
      </c>
      <c r="AB593" s="19">
        <f>COUNTIFS(F4:F320,Z593,B4:B320,3)+COUNTIFS(I4:I320,Z593,M4:M320,3)</f>
        <v>8</v>
      </c>
      <c r="AC593" s="19">
        <f>COUNTIFS(F4:F320,Z593,B4:B320,1)+COUNTIFS(I4:I320,Z593,M4:M320,1)</f>
        <v>4</v>
      </c>
      <c r="AD593" s="19">
        <f>COUNTIFS(F4:F320,Z593,B4:B320,0)+COUNTIFS(I4:I320,Z593,M4:M320,0)</f>
        <v>11</v>
      </c>
      <c r="AE593" s="19">
        <f>SUMIF(F4:F320,Z593,G4:G320)+SUMIF(I4:I320,Z593,H4:H320)</f>
        <v>38</v>
      </c>
      <c r="AF593" s="19">
        <f>SUMIF(F4:F320,Z593,H4:H320)+SUMIF(I4:I320,Z593,G4:G320)</f>
        <v>37</v>
      </c>
      <c r="AG593" s="19">
        <f t="shared" si="367"/>
        <v>1</v>
      </c>
      <c r="AH593" s="19">
        <f t="shared" si="368"/>
        <v>28</v>
      </c>
      <c r="AI593" s="19">
        <f t="shared" si="366"/>
        <v>28000.047999999999</v>
      </c>
      <c r="AJ593" s="2"/>
      <c r="AW593" s="7"/>
    </row>
    <row r="594" spans="1:49" x14ac:dyDescent="0.25">
      <c r="A594" s="1"/>
      <c r="B594" s="1"/>
      <c r="C594" s="1"/>
      <c r="D594" s="64"/>
      <c r="E594" s="1"/>
      <c r="G594" s="1"/>
      <c r="H594" s="1"/>
      <c r="K594" s="64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2" t="str">
        <f t="shared" si="365"/>
        <v>FC Augsburg</v>
      </c>
      <c r="W594" s="2">
        <f t="shared" si="363"/>
        <v>13</v>
      </c>
      <c r="Y594" s="19">
        <f>RANK(AI594,$AI$585:$AI$602,0)+COUNTIF($AI$584:AI593,AI594)</f>
        <v>13</v>
      </c>
      <c r="Z594" s="19" t="str">
        <f t="shared" si="364"/>
        <v>FC Augsburg</v>
      </c>
      <c r="AA594" s="19">
        <f>COUNTIFS(F4:F320,Z594,G4:G320,"&gt;=0")+COUNTIFS(I4:I320,Z594,H4:H320,"&gt;=0")</f>
        <v>24</v>
      </c>
      <c r="AB594" s="19">
        <f>COUNTIFS(F4:F320,Z594,B4:B320,3)+COUNTIFS(I4:I320,Z594,M4:M320,3)</f>
        <v>7</v>
      </c>
      <c r="AC594" s="19">
        <f>COUNTIFS(F4:F320,Z594,B4:B320,1)+COUNTIFS(I4:I320,Z594,M4:M320,1)</f>
        <v>6</v>
      </c>
      <c r="AD594" s="19">
        <f>COUNTIFS(F4:F320,Z594,B4:B320,0)+COUNTIFS(I4:I320,Z594,M4:M320,0)</f>
        <v>11</v>
      </c>
      <c r="AE594" s="19">
        <f>SUMIF(F4:F320,Z594,G4:G320)+SUMIF(I4:I320,Z594,H4:H320)</f>
        <v>36</v>
      </c>
      <c r="AF594" s="19">
        <f>SUMIF(F4:F320,Z594,H4:H320)+SUMIF(I4:I320,Z594,G4:G320)</f>
        <v>50</v>
      </c>
      <c r="AG594" s="19">
        <f t="shared" si="367"/>
        <v>-14</v>
      </c>
      <c r="AH594" s="19">
        <f t="shared" si="368"/>
        <v>27</v>
      </c>
      <c r="AI594" s="19">
        <f t="shared" si="366"/>
        <v>26999.896000000001</v>
      </c>
      <c r="AJ594" s="2"/>
      <c r="AW594" s="7"/>
    </row>
    <row r="595" spans="1:49" x14ac:dyDescent="0.25">
      <c r="A595" s="1"/>
      <c r="B595" s="1"/>
      <c r="C595" s="1"/>
      <c r="D595" s="64"/>
      <c r="E595" s="1"/>
      <c r="G595" s="1"/>
      <c r="H595" s="1"/>
      <c r="K595" s="64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2" t="str">
        <f t="shared" si="365"/>
        <v>FC Schalke 04</v>
      </c>
      <c r="W595" s="2">
        <f t="shared" si="363"/>
        <v>6</v>
      </c>
      <c r="Y595" s="19">
        <f>RANK(AI595,$AI$585:$AI$602,0)+COUNTIF($AI$584:AI594,AI595)</f>
        <v>6</v>
      </c>
      <c r="Z595" s="19" t="str">
        <f t="shared" si="364"/>
        <v>FC Schalke 04</v>
      </c>
      <c r="AA595" s="19">
        <f>COUNTIFS(F4:F320,Z595,G4:G320,"&gt;=0")+COUNTIFS(I4:I320,Z595,H4:H320,"&gt;=0")</f>
        <v>24</v>
      </c>
      <c r="AB595" s="19">
        <f>COUNTIFS(F4:F320,Z595,B4:B320,3)+COUNTIFS(I4:I320,Z595,M4:M320,3)</f>
        <v>9</v>
      </c>
      <c r="AC595" s="19">
        <f>COUNTIFS(F4:F320,Z595,B4:B320,1)+COUNTIFS(I4:I320,Z595,M4:M320,1)</f>
        <v>9</v>
      </c>
      <c r="AD595" s="19">
        <f>COUNTIFS(F4:F320,Z595,B4:B320,0)+COUNTIFS(I4:I320,Z595,M4:M320,0)</f>
        <v>6</v>
      </c>
      <c r="AE595" s="19">
        <f>SUMIF(F4:F320,Z595,G4:G320)+SUMIF(I4:I320,Z595,H4:H320)</f>
        <v>32</v>
      </c>
      <c r="AF595" s="19">
        <f>SUMIF(F4:F320,Z595,H4:H320)+SUMIF(I4:I320,Z595,G4:G320)</f>
        <v>35</v>
      </c>
      <c r="AG595" s="19">
        <f t="shared" si="367"/>
        <v>-3</v>
      </c>
      <c r="AH595" s="19">
        <f t="shared" si="368"/>
        <v>36</v>
      </c>
      <c r="AI595" s="19">
        <f t="shared" si="366"/>
        <v>36000.002</v>
      </c>
      <c r="AJ595" s="2"/>
      <c r="AW595" s="7"/>
    </row>
    <row r="596" spans="1:49" x14ac:dyDescent="0.25">
      <c r="A596" s="1"/>
      <c r="B596" s="1"/>
      <c r="C596" s="1"/>
      <c r="D596" s="64"/>
      <c r="E596" s="1"/>
      <c r="G596" s="1"/>
      <c r="H596" s="1"/>
      <c r="K596" s="64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2" t="str">
        <f t="shared" si="365"/>
        <v>Fortuna Düsseldorf</v>
      </c>
      <c r="W596" s="2">
        <f t="shared" si="363"/>
        <v>16</v>
      </c>
      <c r="Y596" s="19">
        <f>RANK(AI596,$AI$585:$AI$602,0)+COUNTIF($AI$584:AI595,AI596)</f>
        <v>16</v>
      </c>
      <c r="Z596" s="19" t="str">
        <f t="shared" si="364"/>
        <v>Fortuna Düsseldorf</v>
      </c>
      <c r="AA596" s="19">
        <f>COUNTIFS(F4:F320,Z596,G4:G320,"&gt;=0")+COUNTIFS(I4:I320,Z596,H4:H320,"&gt;=0")</f>
        <v>24</v>
      </c>
      <c r="AB596" s="19">
        <f>COUNTIFS(F4:F320,Z596,B4:B320,3)+COUNTIFS(I4:I320,Z596,M4:M320,3)</f>
        <v>5</v>
      </c>
      <c r="AC596" s="19">
        <f>COUNTIFS(F4:F320,Z596,B4:B320,1)+COUNTIFS(I4:I320,Z596,M4:M320,1)</f>
        <v>6</v>
      </c>
      <c r="AD596" s="19">
        <f>COUNTIFS(F4:F320,Z596,B4:B320,0)+COUNTIFS(I4:I320,Z596,M4:M320,0)</f>
        <v>13</v>
      </c>
      <c r="AE596" s="19">
        <f>SUMIF(F4:F320,Z596,G4:G320)+SUMIF(I4:I320,Z596,H4:H320)</f>
        <v>26</v>
      </c>
      <c r="AF596" s="19">
        <f>SUMIF(F4:F320,Z596,H4:H320)+SUMIF(I4:I320,Z596,G4:G320)</f>
        <v>49</v>
      </c>
      <c r="AG596" s="19">
        <f t="shared" si="367"/>
        <v>-23</v>
      </c>
      <c r="AH596" s="19">
        <f t="shared" si="368"/>
        <v>21</v>
      </c>
      <c r="AI596" s="19">
        <f t="shared" si="366"/>
        <v>20999.796000000002</v>
      </c>
      <c r="AJ596" s="2"/>
      <c r="AW596" s="7"/>
    </row>
    <row r="597" spans="1:49" x14ac:dyDescent="0.25">
      <c r="A597" s="1"/>
      <c r="B597" s="1"/>
      <c r="C597" s="1"/>
      <c r="D597" s="64"/>
      <c r="E597" s="1"/>
      <c r="G597" s="1"/>
      <c r="H597" s="1"/>
      <c r="K597" s="64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2" t="str">
        <f t="shared" si="365"/>
        <v>Hertha BSC</v>
      </c>
      <c r="W597" s="2">
        <f t="shared" si="363"/>
        <v>14</v>
      </c>
      <c r="Y597" s="19">
        <f>RANK(AI597,$AI$585:$AI$602,0)+COUNTIF($AI$584:AI596,AI597)</f>
        <v>14</v>
      </c>
      <c r="Z597" s="19" t="str">
        <f t="shared" si="364"/>
        <v>Hertha BSC</v>
      </c>
      <c r="AA597" s="19">
        <f>COUNTIFS(F4:F320,Z597,G4:G320,"&gt;=0")+COUNTIFS(I4:I320,Z597,H4:H320,"&gt;=0")</f>
        <v>24</v>
      </c>
      <c r="AB597" s="19">
        <f>COUNTIFS(F4:F320,Z597,B4:B320,3)+COUNTIFS(I4:I320,Z597,M4:M320,3)</f>
        <v>7</v>
      </c>
      <c r="AC597" s="19">
        <f>COUNTIFS(F4:F320,Z597,B4:B320,1)+COUNTIFS(I4:I320,Z597,M4:M320,1)</f>
        <v>6</v>
      </c>
      <c r="AD597" s="19">
        <f>COUNTIFS(F4:F320,Z597,B4:B320,0)+COUNTIFS(I4:I320,Z597,M4:M320,0)</f>
        <v>11</v>
      </c>
      <c r="AE597" s="19">
        <f>SUMIF(F4:F320,Z597,G4:G320)+SUMIF(I4:I320,Z597,H4:H320)</f>
        <v>30</v>
      </c>
      <c r="AF597" s="19">
        <f>SUMIF(F4:F320,Z597,H4:H320)+SUMIF(I4:I320,Z597,G4:G320)</f>
        <v>46</v>
      </c>
      <c r="AG597" s="19">
        <f t="shared" si="367"/>
        <v>-16</v>
      </c>
      <c r="AH597" s="19">
        <f t="shared" si="368"/>
        <v>27</v>
      </c>
      <c r="AI597" s="19">
        <f t="shared" si="366"/>
        <v>26999.87</v>
      </c>
      <c r="AJ597" s="2"/>
      <c r="AW597" s="7"/>
    </row>
    <row r="598" spans="1:49" x14ac:dyDescent="0.25">
      <c r="A598" s="1"/>
      <c r="B598" s="1"/>
      <c r="C598" s="1"/>
      <c r="D598" s="64"/>
      <c r="E598" s="1"/>
      <c r="G598" s="1"/>
      <c r="H598" s="1"/>
      <c r="K598" s="64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2" t="str">
        <f t="shared" si="365"/>
        <v>RB Leipzig</v>
      </c>
      <c r="W598" s="2">
        <f t="shared" si="363"/>
        <v>2</v>
      </c>
      <c r="Y598" s="19">
        <f>RANK(AI598,$AI$585:$AI$602,0)+COUNTIF($AI$584:AI597,AI598)</f>
        <v>2</v>
      </c>
      <c r="Z598" s="19" t="str">
        <f t="shared" si="364"/>
        <v>RB Leipzig</v>
      </c>
      <c r="AA598" s="19">
        <f>COUNTIFS(F4:F320,Z598,G4:G320,"&gt;=0")+COUNTIFS(I4:I320,Z598,H4:H320,"&gt;=0")</f>
        <v>24</v>
      </c>
      <c r="AB598" s="19">
        <f>COUNTIFS(F4:F320,Z598,B4:B320,3)+COUNTIFS(I4:I320,Z598,M4:M320,3)</f>
        <v>14</v>
      </c>
      <c r="AC598" s="19">
        <f>COUNTIFS(F4:F320,Z598,B4:B320,1)+COUNTIFS(I4:I320,Z598,M4:M320,1)</f>
        <v>7</v>
      </c>
      <c r="AD598" s="19">
        <f>COUNTIFS(F4:F320,Z598,B4:B320,0)+COUNTIFS(I4:I320,Z598,M4:M320,0)</f>
        <v>3</v>
      </c>
      <c r="AE598" s="19">
        <f>SUMIF(F4:F320,Z598,G4:G320)+SUMIF(I4:I320,Z598,H4:H320)</f>
        <v>62</v>
      </c>
      <c r="AF598" s="19">
        <f>SUMIF(F4:F320,Z598,H4:H320)+SUMIF(I4:I320,Z598,G4:G320)</f>
        <v>26</v>
      </c>
      <c r="AG598" s="19">
        <f t="shared" si="367"/>
        <v>36</v>
      </c>
      <c r="AH598" s="19">
        <f t="shared" si="368"/>
        <v>49</v>
      </c>
      <c r="AI598" s="19">
        <f t="shared" si="366"/>
        <v>49000.421999999999</v>
      </c>
      <c r="AW598" s="7"/>
    </row>
    <row r="599" spans="1:49" x14ac:dyDescent="0.25">
      <c r="A599" s="1"/>
      <c r="B599" s="1"/>
      <c r="C599" s="1"/>
      <c r="D599" s="64"/>
      <c r="E599" s="1"/>
      <c r="G599" s="1"/>
      <c r="H599" s="1"/>
      <c r="K599" s="64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2" t="str">
        <f t="shared" si="365"/>
        <v>SC Freiburg</v>
      </c>
      <c r="W599" s="2">
        <f t="shared" si="363"/>
        <v>9</v>
      </c>
      <c r="Y599" s="19">
        <f>RANK(AI599,$AI$585:$AI$602,0)+COUNTIF($AI$584:AI598,AI599)</f>
        <v>9</v>
      </c>
      <c r="Z599" s="19" t="str">
        <f t="shared" si="364"/>
        <v>SC Freiburg</v>
      </c>
      <c r="AA599" s="19">
        <f>COUNTIFS(F4:F320,Z599,G4:G320,"&gt;=0")+COUNTIFS(I4:I320,Z599,H4:H320,"&gt;=0")</f>
        <v>24</v>
      </c>
      <c r="AB599" s="19">
        <f>COUNTIFS(F4:F320,Z599,B4:B320,3)+COUNTIFS(I4:I320,Z599,M4:M320,3)</f>
        <v>9</v>
      </c>
      <c r="AC599" s="19">
        <f>COUNTIFS(F4:F320,Z599,B4:B320,1)+COUNTIFS(I4:I320,Z599,M4:M320,1)</f>
        <v>6</v>
      </c>
      <c r="AD599" s="19">
        <f>COUNTIFS(F4:F320,Z599,B4:B320,0)+COUNTIFS(I4:I320,Z599,M4:M320,0)</f>
        <v>9</v>
      </c>
      <c r="AE599" s="19">
        <f>SUMIF(F4:F320,Z599,G4:G320)+SUMIF(I4:I320,Z599,H4:H320)</f>
        <v>31</v>
      </c>
      <c r="AF599" s="19">
        <f>SUMIF(F4:F320,Z599,H4:H320)+SUMIF(I4:I320,Z599,G4:G320)</f>
        <v>34</v>
      </c>
      <c r="AG599" s="19">
        <f t="shared" si="367"/>
        <v>-3</v>
      </c>
      <c r="AH599" s="19">
        <f t="shared" si="368"/>
        <v>33</v>
      </c>
      <c r="AI599" s="19">
        <f t="shared" si="366"/>
        <v>33000.001000000004</v>
      </c>
      <c r="AJ599" s="2"/>
      <c r="AW599" s="7"/>
    </row>
    <row r="600" spans="1:49" x14ac:dyDescent="0.25">
      <c r="A600" s="1"/>
      <c r="B600" s="1"/>
      <c r="C600" s="1"/>
      <c r="D600" s="64"/>
      <c r="E600" s="1"/>
      <c r="G600" s="1"/>
      <c r="H600" s="1"/>
      <c r="K600" s="64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2" t="str">
        <f t="shared" si="365"/>
        <v>SC Paderborn 07</v>
      </c>
      <c r="W600" s="2">
        <f t="shared" si="363"/>
        <v>18</v>
      </c>
      <c r="Y600" s="19">
        <f>RANK(AI600,$AI$585:$AI$602,0)+COUNTIF($AI$584:AI599,AI600)</f>
        <v>18</v>
      </c>
      <c r="Z600" s="19" t="str">
        <f t="shared" si="364"/>
        <v>SC Paderborn 07</v>
      </c>
      <c r="AA600" s="19">
        <f>COUNTIFS(F4:F320,Z600,G4:G320,"&gt;=0")+COUNTIFS(I4:I320,Z600,H4:H320,"&gt;=0")</f>
        <v>24</v>
      </c>
      <c r="AB600" s="19">
        <f>COUNTIFS(F4:F320,Z600,B4:B320,3)+COUNTIFS(I4:I320,Z600,M4:M320,3)</f>
        <v>4</v>
      </c>
      <c r="AC600" s="19">
        <f>COUNTIFS(F4:F320,Z600,B4:B320,1)+COUNTIFS(I4:I320,Z600,M4:M320,1)</f>
        <v>4</v>
      </c>
      <c r="AD600" s="19">
        <f>COUNTIFS(F4:F320,Z600,B4:B320,0)+COUNTIFS(I4:I320,Z600,M4:M320,0)</f>
        <v>16</v>
      </c>
      <c r="AE600" s="19">
        <f>SUMIF(F4:F320,Z600,G4:G320)+SUMIF(I4:I320,Z600,H4:H320)</f>
        <v>29</v>
      </c>
      <c r="AF600" s="19">
        <f>SUMIF(F4:F320,Z600,H4:H320)+SUMIF(I4:I320,Z600,G4:G320)</f>
        <v>52</v>
      </c>
      <c r="AG600" s="19">
        <f t="shared" si="367"/>
        <v>-23</v>
      </c>
      <c r="AH600" s="19">
        <f t="shared" si="368"/>
        <v>16</v>
      </c>
      <c r="AI600" s="19">
        <f t="shared" si="366"/>
        <v>15999.799000000001</v>
      </c>
      <c r="AJ600" s="2"/>
      <c r="AW600" s="7"/>
    </row>
    <row r="601" spans="1:49" x14ac:dyDescent="0.25">
      <c r="A601" s="1"/>
      <c r="B601" s="1"/>
      <c r="C601" s="1"/>
      <c r="D601" s="64"/>
      <c r="E601" s="1"/>
      <c r="G601" s="1"/>
      <c r="H601" s="1"/>
      <c r="K601" s="64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2" t="str">
        <f t="shared" si="365"/>
        <v>VfL Wolfsburg</v>
      </c>
      <c r="W601" s="2">
        <f t="shared" si="363"/>
        <v>7</v>
      </c>
      <c r="Y601" s="19">
        <f>RANK(AI601,$AI$585:$AI$602,0)+COUNTIF($AI$584:AI600,AI601)</f>
        <v>7</v>
      </c>
      <c r="Z601" s="19" t="str">
        <f t="shared" si="364"/>
        <v>VfL Wolfsburg</v>
      </c>
      <c r="AA601" s="19">
        <f>COUNTIFS(F4:F320,Z601,G4:G320,"&gt;=0")+COUNTIFS(I4:I320,Z601,H4:H320,"&gt;=0")</f>
        <v>24</v>
      </c>
      <c r="AB601" s="19">
        <f>COUNTIFS(F4:F320,Z601,B4:B320,3)+COUNTIFS(I4:I320,Z601,M4:M320,3)</f>
        <v>9</v>
      </c>
      <c r="AC601" s="19">
        <f>COUNTIFS(F4:F320,Z601,B4:B320,1)+COUNTIFS(I4:I320,Z601,M4:M320,1)</f>
        <v>8</v>
      </c>
      <c r="AD601" s="19">
        <f>COUNTIFS(F4:F320,Z601,B4:B320,0)+COUNTIFS(I4:I320,Z601,M4:M320,0)</f>
        <v>7</v>
      </c>
      <c r="AE601" s="19">
        <f>SUMIF(F4:F320,Z601,G4:G320)+SUMIF(I4:I320,Z601,H4:H320)</f>
        <v>34</v>
      </c>
      <c r="AF601" s="19">
        <f>SUMIF(F4:F320,Z601,H4:H320)+SUMIF(I4:I320,Z601,G4:G320)</f>
        <v>30</v>
      </c>
      <c r="AG601" s="19">
        <f t="shared" si="367"/>
        <v>4</v>
      </c>
      <c r="AH601" s="19">
        <f t="shared" si="368"/>
        <v>35</v>
      </c>
      <c r="AI601" s="19">
        <f t="shared" si="366"/>
        <v>35000.074000000001</v>
      </c>
      <c r="AJ601" s="2"/>
      <c r="AW601" s="7"/>
    </row>
    <row r="602" spans="1:49" x14ac:dyDescent="0.25">
      <c r="A602" s="1"/>
      <c r="B602" s="1"/>
      <c r="C602" s="1"/>
      <c r="D602" s="64"/>
      <c r="E602" s="1"/>
      <c r="G602" s="1"/>
      <c r="H602" s="1"/>
      <c r="K602" s="64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2" t="str">
        <f t="shared" si="365"/>
        <v>Werder Bremen</v>
      </c>
      <c r="W602" s="2">
        <f t="shared" si="363"/>
        <v>17</v>
      </c>
      <c r="Y602" s="19">
        <f>RANK(AI602,$AI$585:$AI$602,0)+COUNTIF($AI$584:AI601,AI602)</f>
        <v>17</v>
      </c>
      <c r="Z602" s="19" t="str">
        <f t="shared" si="364"/>
        <v>Werder Bremen</v>
      </c>
      <c r="AA602" s="19">
        <f>COUNTIFS(F4:F320,Z602,G4:G320,"&gt;=0")+COUNTIFS(I4:I320,Z602,H4:H320,"&gt;=0")</f>
        <v>23</v>
      </c>
      <c r="AB602" s="19">
        <f>COUNTIFS(F4:F320,Z602,B4:B320,3)+COUNTIFS(I4:I320,Z602,M4:M320,3)</f>
        <v>4</v>
      </c>
      <c r="AC602" s="19">
        <f>COUNTIFS(F4:F320,Z602,B4:B320,1)+COUNTIFS(I4:I320,Z602,M4:M320,1)</f>
        <v>5</v>
      </c>
      <c r="AD602" s="19">
        <f>COUNTIFS(F4:F320,Z602,B4:B320,0)+COUNTIFS(I4:I320,Z602,M4:M320,0)</f>
        <v>14</v>
      </c>
      <c r="AE602" s="19">
        <f>SUMIF(F4:F320,Z602,G4:G320)+SUMIF(I4:I320,Z602,H4:H320)</f>
        <v>25</v>
      </c>
      <c r="AF602" s="19">
        <f>SUMIF(F4:F320,Z602,H4:H320)+SUMIF(I4:I320,Z602,G4:G320)</f>
        <v>53</v>
      </c>
      <c r="AG602" s="19">
        <f t="shared" si="367"/>
        <v>-28</v>
      </c>
      <c r="AH602" s="19">
        <f t="shared" si="368"/>
        <v>17</v>
      </c>
      <c r="AI602" s="19">
        <f t="shared" si="366"/>
        <v>16999.745000000003</v>
      </c>
      <c r="AJ602" s="2"/>
      <c r="AW602" s="7"/>
    </row>
    <row r="603" spans="1:49" x14ac:dyDescent="0.25">
      <c r="A603" s="1"/>
      <c r="B603" s="1"/>
      <c r="C603" s="1"/>
      <c r="D603" s="64"/>
      <c r="E603" s="1"/>
      <c r="G603" s="1"/>
      <c r="H603" s="1"/>
      <c r="K603" s="64"/>
      <c r="L603" s="1"/>
      <c r="M603" s="1"/>
      <c r="N603" s="1"/>
      <c r="O603" s="1"/>
      <c r="P603" s="1"/>
      <c r="Q603" s="1"/>
      <c r="R603" s="1"/>
      <c r="S603" s="1"/>
      <c r="T603" s="1"/>
      <c r="U603" s="1"/>
      <c r="AJ603" s="2"/>
      <c r="AW603" s="7"/>
    </row>
    <row r="604" spans="1:49" x14ac:dyDescent="0.25">
      <c r="A604" s="1"/>
      <c r="B604" s="1"/>
      <c r="C604" s="1"/>
      <c r="D604" s="64"/>
      <c r="E604" s="1"/>
      <c r="G604" s="1"/>
      <c r="H604" s="1"/>
      <c r="K604" s="64"/>
      <c r="L604" s="1"/>
      <c r="M604" s="1"/>
      <c r="N604" s="1"/>
      <c r="O604" s="1"/>
      <c r="P604" s="1"/>
      <c r="Q604" s="1"/>
      <c r="R604" s="1"/>
      <c r="S604" s="1"/>
      <c r="T604" s="1"/>
      <c r="U604" s="1"/>
      <c r="W604" s="18">
        <v>30</v>
      </c>
      <c r="Y604" s="19"/>
      <c r="Z604" s="19" t="s">
        <v>1</v>
      </c>
      <c r="AA604" s="19" t="s">
        <v>2</v>
      </c>
      <c r="AB604" s="19" t="s">
        <v>3</v>
      </c>
      <c r="AC604" s="19" t="s">
        <v>4</v>
      </c>
      <c r="AD604" s="19" t="s">
        <v>5</v>
      </c>
      <c r="AE604" s="19" t="s">
        <v>6</v>
      </c>
      <c r="AF604" s="19" t="s">
        <v>7</v>
      </c>
      <c r="AG604" s="19" t="s">
        <v>8</v>
      </c>
      <c r="AH604" s="19" t="s">
        <v>9</v>
      </c>
      <c r="AI604" s="19" t="s">
        <v>0</v>
      </c>
      <c r="AJ604" s="2"/>
      <c r="AW604" s="7"/>
    </row>
    <row r="605" spans="1:49" x14ac:dyDescent="0.25">
      <c r="A605" s="1"/>
      <c r="B605" s="1"/>
      <c r="C605" s="1"/>
      <c r="D605" s="64"/>
      <c r="E605" s="1"/>
      <c r="G605" s="1"/>
      <c r="H605" s="1"/>
      <c r="K605" s="64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2" t="str">
        <f>CONCATENATE(Z605)</f>
        <v>1. FC Köln</v>
      </c>
      <c r="W605" s="2">
        <f t="shared" ref="W605:W622" si="369">Y605</f>
        <v>11</v>
      </c>
      <c r="Y605" s="19">
        <f>RANK(AI605,$AI$605:$AI$622,0)+COUNTIF($AI$604:AI604,AI605)</f>
        <v>11</v>
      </c>
      <c r="Z605" s="19" t="str">
        <f t="shared" ref="Z605:Z622" si="370">CONCATENATE(Z5)</f>
        <v>1. FC Köln</v>
      </c>
      <c r="AA605" s="19">
        <f>COUNTIFS(F4:F331,Z605,G4:G331,"&gt;=0")+COUNTIFS(I4:I331,Z605,H4:H331,"&gt;=0")</f>
        <v>23</v>
      </c>
      <c r="AB605" s="19">
        <f>COUNTIFS(F4:F331,Z605,B4:B331,3)+COUNTIFS(I4:I331,Z605,M4:M331,3)</f>
        <v>9</v>
      </c>
      <c r="AC605" s="19">
        <f>COUNTIFS(F4:F331,Z605,B4:B331,1)+COUNTIFS(I4:I331,Z605,M4:M331,1)</f>
        <v>2</v>
      </c>
      <c r="AD605" s="19">
        <f>COUNTIFS(F4:F331,Z605,B4:B331,0)+COUNTIFS(I4:I331,Z605,M4:M331,0)</f>
        <v>12</v>
      </c>
      <c r="AE605" s="19">
        <f>SUMIF(F4:F331,Z605,G4:G331)+SUMIF(I4:I331,Z605,H4:H331)</f>
        <v>36</v>
      </c>
      <c r="AF605" s="19">
        <f>SUMIF(F4:F331,Z605,H4:H331)+SUMIF(I4:I331,Z605,G4:G331)</f>
        <v>42</v>
      </c>
      <c r="AG605" s="19">
        <f>+AE605-AF605</f>
        <v>-6</v>
      </c>
      <c r="AH605" s="19">
        <f>(AB605*3)+AC605</f>
        <v>29</v>
      </c>
      <c r="AI605" s="19">
        <f>SUM(AH605*1000+(AG605)/100+(AE605)/1000)</f>
        <v>28999.975999999999</v>
      </c>
      <c r="AJ605" s="2"/>
      <c r="AW605" s="7"/>
    </row>
    <row r="606" spans="1:49" x14ac:dyDescent="0.25">
      <c r="A606" s="1"/>
      <c r="B606" s="1"/>
      <c r="C606" s="1"/>
      <c r="D606" s="64"/>
      <c r="E606" s="1"/>
      <c r="G606" s="1"/>
      <c r="H606" s="1"/>
      <c r="K606" s="64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2" t="str">
        <f t="shared" ref="V606:V622" si="371">CONCATENATE(Z606)</f>
        <v>1. FC Union Berlin</v>
      </c>
      <c r="W606" s="2">
        <f t="shared" si="369"/>
        <v>10</v>
      </c>
      <c r="Y606" s="19">
        <f>RANK(AI606,$AI$605:$AI$622,0)+COUNTIF($AI$604:AI605,AI606)</f>
        <v>10</v>
      </c>
      <c r="Z606" s="19" t="str">
        <f t="shared" si="370"/>
        <v>1. FC Union Berlin</v>
      </c>
      <c r="AA606" s="19">
        <f>COUNTIFS(F4:F331,Z606,G4:G331,"&gt;=0")+COUNTIFS(I4:I331,Z606,H4:H331,"&gt;=0")</f>
        <v>24</v>
      </c>
      <c r="AB606" s="19">
        <f>COUNTIFS(F4:F331,Z606,B4:B331,3)+COUNTIFS(I4:I331,Z606,M4:M331,3)</f>
        <v>9</v>
      </c>
      <c r="AC606" s="19">
        <f>COUNTIFS(F4:F331,Z606,B4:B331,1)+COUNTIFS(I4:I331,Z606,M4:M331,1)</f>
        <v>3</v>
      </c>
      <c r="AD606" s="19">
        <f>COUNTIFS(F4:F331,Z606,B4:B331,0)+COUNTIFS(I4:I331,Z606,M4:M331,0)</f>
        <v>12</v>
      </c>
      <c r="AE606" s="19">
        <f>SUMIF(F4:F331,Z606,G4:G331)+SUMIF(I4:I331,Z606,H4:H331)</f>
        <v>31</v>
      </c>
      <c r="AF606" s="19">
        <f>SUMIF(F4:F331,Z606,H4:H331)+SUMIF(I4:I331,Z606,G4:G331)</f>
        <v>38</v>
      </c>
      <c r="AG606" s="19">
        <f>+AE606-AF606</f>
        <v>-7</v>
      </c>
      <c r="AH606" s="19">
        <f>(AB606*3)+AC606</f>
        <v>30</v>
      </c>
      <c r="AI606" s="19">
        <f t="shared" ref="AI606:AI622" si="372">SUM(AH606*1000+(AG606)/100+(AE606)/1000)</f>
        <v>29999.960999999999</v>
      </c>
      <c r="AJ606" s="2"/>
      <c r="AW606" s="7"/>
    </row>
    <row r="607" spans="1:49" x14ac:dyDescent="0.25">
      <c r="A607" s="1"/>
      <c r="B607" s="1"/>
      <c r="C607" s="1"/>
      <c r="D607" s="64"/>
      <c r="E607" s="1"/>
      <c r="G607" s="1"/>
      <c r="H607" s="1"/>
      <c r="K607" s="64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2" t="str">
        <f t="shared" si="371"/>
        <v>1. FSV Mainz 05</v>
      </c>
      <c r="W607" s="2">
        <f t="shared" si="369"/>
        <v>15</v>
      </c>
      <c r="Y607" s="19">
        <f>RANK(AI607,$AI$605:$AI$622,0)+COUNTIF($AI$604:AI606,AI607)</f>
        <v>15</v>
      </c>
      <c r="Z607" s="19" t="str">
        <f t="shared" si="370"/>
        <v>1. FSV Mainz 05</v>
      </c>
      <c r="AA607" s="19">
        <f>COUNTIFS(F4:F331,Z607,G4:G331,"&gt;=0")+COUNTIFS(I4:I331,Z607,H4:H331,"&gt;=0")</f>
        <v>24</v>
      </c>
      <c r="AB607" s="19">
        <f>COUNTIFS(F4:F331,Z607,B4:B331,3)+COUNTIFS(I4:I331,Z607,M4:M331,3)</f>
        <v>8</v>
      </c>
      <c r="AC607" s="19">
        <f>COUNTIFS(F4:F331,Z607,B4:B331,1)+COUNTIFS(I4:I331,Z607,M4:M331,1)</f>
        <v>1</v>
      </c>
      <c r="AD607" s="19">
        <f>COUNTIFS(F4:F331,Z607,B4:B331,0)+COUNTIFS(I4:I331,Z607,M4:M331,0)</f>
        <v>15</v>
      </c>
      <c r="AE607" s="19">
        <f>SUMIF(F4:F331,Z607,G4:G331)+SUMIF(I4:I331,Z607,H4:H331)</f>
        <v>33</v>
      </c>
      <c r="AF607" s="19">
        <f>SUMIF(F4:F331,Z607,H4:H331)+SUMIF(I4:I331,Z607,G4:G331)</f>
        <v>52</v>
      </c>
      <c r="AG607" s="19">
        <f>+AE607-AF607</f>
        <v>-19</v>
      </c>
      <c r="AH607" s="19">
        <f>(AB607*3)+AC607</f>
        <v>25</v>
      </c>
      <c r="AI607" s="19">
        <f t="shared" si="372"/>
        <v>24999.843000000001</v>
      </c>
      <c r="AJ607" s="2"/>
      <c r="AW607" s="7"/>
    </row>
    <row r="608" spans="1:49" x14ac:dyDescent="0.25">
      <c r="A608" s="1"/>
      <c r="B608" s="1"/>
      <c r="C608" s="1"/>
      <c r="D608" s="64"/>
      <c r="E608" s="1"/>
      <c r="G608" s="1"/>
      <c r="H608" s="1"/>
      <c r="K608" s="64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2" t="str">
        <f t="shared" si="371"/>
        <v>1899 Hoffenheim</v>
      </c>
      <c r="W608" s="2">
        <f t="shared" si="369"/>
        <v>8</v>
      </c>
      <c r="Y608" s="19">
        <f>RANK(AI608,$AI$605:$AI$622,0)+COUNTIF($AI$604:AI607,AI608)</f>
        <v>8</v>
      </c>
      <c r="Z608" s="19" t="str">
        <f t="shared" si="370"/>
        <v>1899 Hoffenheim</v>
      </c>
      <c r="AA608" s="19">
        <f>COUNTIFS(F4:F331,Z608,G4:G331,"&gt;=0")+COUNTIFS(I4:I331,Z608,H4:H331,"&gt;=0")</f>
        <v>24</v>
      </c>
      <c r="AB608" s="19">
        <f>COUNTIFS(F4:F331,Z608,B4:B331,3)+COUNTIFS(I4:I331,Z608,M4:M331,3)</f>
        <v>10</v>
      </c>
      <c r="AC608" s="19">
        <f>COUNTIFS(F4:F331,Z608,B4:B331,1)+COUNTIFS(I4:I331,Z608,M4:M331,1)</f>
        <v>4</v>
      </c>
      <c r="AD608" s="19">
        <f>COUNTIFS(F4:F331,Z608,B4:B331,0)+COUNTIFS(I4:I331,Z608,M4:M331,0)</f>
        <v>10</v>
      </c>
      <c r="AE608" s="19">
        <f>SUMIF(F4:F331,Z608,G4:G331)+SUMIF(I4:I331,Z608,H4:H331)</f>
        <v>34</v>
      </c>
      <c r="AF608" s="19">
        <f>SUMIF(F4:F331,Z608,H4:H331)+SUMIF(I4:I331,Z608,G4:G331)</f>
        <v>42</v>
      </c>
      <c r="AG608" s="19">
        <f t="shared" ref="AG608:AG622" si="373">+AE608-AF608</f>
        <v>-8</v>
      </c>
      <c r="AH608" s="19">
        <f>(AB608*3)+AC608</f>
        <v>34</v>
      </c>
      <c r="AI608" s="19">
        <f t="shared" si="372"/>
        <v>33999.953999999998</v>
      </c>
      <c r="AJ608" s="2"/>
      <c r="AW608" s="7"/>
    </row>
    <row r="609" spans="1:49" x14ac:dyDescent="0.25">
      <c r="A609" s="1"/>
      <c r="B609" s="1"/>
      <c r="C609" s="1"/>
      <c r="D609" s="64"/>
      <c r="E609" s="1"/>
      <c r="G609" s="1"/>
      <c r="H609" s="1"/>
      <c r="K609" s="64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2" t="str">
        <f t="shared" si="371"/>
        <v>Bayer Leverkusen</v>
      </c>
      <c r="W609" s="2">
        <f t="shared" si="369"/>
        <v>5</v>
      </c>
      <c r="Y609" s="19">
        <f>RANK(AI609,$AI$605:$AI$622,0)+COUNTIF($AI$604:AI608,AI609)</f>
        <v>5</v>
      </c>
      <c r="Z609" s="19" t="str">
        <f t="shared" si="370"/>
        <v>Bayer Leverkusen</v>
      </c>
      <c r="AA609" s="19">
        <f>COUNTIFS(F4:F331,Z609,G4:G331,"&gt;=0")+COUNTIFS(I4:I331,Z609,H4:H331,"&gt;=0")</f>
        <v>24</v>
      </c>
      <c r="AB609" s="19">
        <f>COUNTIFS(F4:F331,Z609,B4:B331,3)+COUNTIFS(I4:I331,Z609,M4:M331,3)</f>
        <v>13</v>
      </c>
      <c r="AC609" s="19">
        <f>COUNTIFS(F4:F331,Z609,B4:B331,1)+COUNTIFS(I4:I331,Z609,M4:M331,1)</f>
        <v>5</v>
      </c>
      <c r="AD609" s="19">
        <f>COUNTIFS(F4:F331,Z609,B4:B331,0)+COUNTIFS(I4:I331,Z609,M4:M331,0)</f>
        <v>6</v>
      </c>
      <c r="AE609" s="19">
        <f>SUMIF(F4:F331,Z609,G4:G331)+SUMIF(I4:I331,Z609,H4:H331)</f>
        <v>41</v>
      </c>
      <c r="AF609" s="19">
        <f>SUMIF(F4:F331,Z609,H4:H331)+SUMIF(I4:I331,Z609,G4:G331)</f>
        <v>30</v>
      </c>
      <c r="AG609" s="19">
        <f t="shared" si="373"/>
        <v>11</v>
      </c>
      <c r="AH609" s="19">
        <f>(AB609*3)+AC609</f>
        <v>44</v>
      </c>
      <c r="AI609" s="19">
        <f t="shared" si="372"/>
        <v>44000.150999999998</v>
      </c>
      <c r="AJ609" s="2"/>
      <c r="AW609" s="7"/>
    </row>
    <row r="610" spans="1:49" x14ac:dyDescent="0.25">
      <c r="A610" s="1"/>
      <c r="B610" s="1"/>
      <c r="C610" s="1"/>
      <c r="D610" s="64"/>
      <c r="E610" s="1"/>
      <c r="G610" s="1"/>
      <c r="H610" s="1"/>
      <c r="K610" s="64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2" t="str">
        <f t="shared" si="371"/>
        <v>Bayern München</v>
      </c>
      <c r="W610" s="2">
        <f t="shared" si="369"/>
        <v>1</v>
      </c>
      <c r="Y610" s="19">
        <f>RANK(AI610,$AI$605:$AI$622,0)+COUNTIF($AI$604:AI609,AI610)</f>
        <v>1</v>
      </c>
      <c r="Z610" s="19" t="str">
        <f t="shared" si="370"/>
        <v>Bayern München</v>
      </c>
      <c r="AA610" s="19">
        <f>COUNTIFS(F4:F331,Z610,G4:G331,"&gt;=0")+COUNTIFS(I4:I331,Z610,H4:H331,"&gt;=0")</f>
        <v>24</v>
      </c>
      <c r="AB610" s="19">
        <f>COUNTIFS(F4:F331,Z610,B4:B331,3)+COUNTIFS(I4:I331,Z610,M4:M331,3)</f>
        <v>16</v>
      </c>
      <c r="AC610" s="19">
        <f>COUNTIFS(F4:F331,Z610,B4:B331,1)+COUNTIFS(I4:I331,Z610,M4:M331,1)</f>
        <v>4</v>
      </c>
      <c r="AD610" s="19">
        <f>COUNTIFS(F4:F331,Z610,B4:B331,0)+COUNTIFS(I4:I331,Z610,M4:M331,0)</f>
        <v>4</v>
      </c>
      <c r="AE610" s="19">
        <f>SUMIF(F4:F331,Z610,G4:G331)+SUMIF(I4:I331,Z610,H4:H331)</f>
        <v>71</v>
      </c>
      <c r="AF610" s="19">
        <f>SUMIF(F4:F331,Z610,H4:H331)+SUMIF(I4:I331,Z610,G4:G331)</f>
        <v>26</v>
      </c>
      <c r="AG610" s="19">
        <f t="shared" si="373"/>
        <v>45</v>
      </c>
      <c r="AH610" s="19">
        <f t="shared" ref="AH610:AH622" si="374">(AB610*3)+AC610</f>
        <v>52</v>
      </c>
      <c r="AI610" s="19">
        <f t="shared" si="372"/>
        <v>52000.521000000001</v>
      </c>
      <c r="AJ610" s="2"/>
      <c r="AW610" s="7"/>
    </row>
    <row r="611" spans="1:49" x14ac:dyDescent="0.25">
      <c r="A611" s="1"/>
      <c r="B611" s="1"/>
      <c r="C611" s="1"/>
      <c r="D611" s="64"/>
      <c r="E611" s="1"/>
      <c r="G611" s="1"/>
      <c r="H611" s="1"/>
      <c r="K611" s="64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2" t="str">
        <f t="shared" si="371"/>
        <v>Bor. Mönchengladbach</v>
      </c>
      <c r="W611" s="2">
        <f t="shared" si="369"/>
        <v>4</v>
      </c>
      <c r="Y611" s="19">
        <f>RANK(AI611,$AI$605:$AI$622,0)+COUNTIF($AI$604:AI610,AI611)</f>
        <v>4</v>
      </c>
      <c r="Z611" s="19" t="str">
        <f t="shared" si="370"/>
        <v>Bor. Mönchengladbach</v>
      </c>
      <c r="AA611" s="19">
        <f>COUNTIFS(F4:F331,Z611,G4:G331,"&gt;=0")+COUNTIFS(I4:I331,Z611,H4:H331,"&gt;=0")</f>
        <v>23</v>
      </c>
      <c r="AB611" s="19">
        <f>COUNTIFS(F4:F331,Z611,B4:B331,3)+COUNTIFS(I4:I331,Z611,M4:M331,3)</f>
        <v>14</v>
      </c>
      <c r="AC611" s="19">
        <f>COUNTIFS(F4:F331,Z611,B4:B331,1)+COUNTIFS(I4:I331,Z611,M4:M331,1)</f>
        <v>4</v>
      </c>
      <c r="AD611" s="19">
        <f>COUNTIFS(F4:F331,Z611,B4:B331,0)+COUNTIFS(I4:I331,Z611,M4:M331,0)</f>
        <v>5</v>
      </c>
      <c r="AE611" s="19">
        <f>SUMIF(F4:F331,Z611,G4:G331)+SUMIF(I4:I331,Z611,H4:H331)</f>
        <v>46</v>
      </c>
      <c r="AF611" s="19">
        <f>SUMIF(F4:F331,Z611,H4:H331)+SUMIF(I4:I331,Z611,G4:G331)</f>
        <v>27</v>
      </c>
      <c r="AG611" s="19">
        <f t="shared" si="373"/>
        <v>19</v>
      </c>
      <c r="AH611" s="19">
        <f t="shared" si="374"/>
        <v>46</v>
      </c>
      <c r="AI611" s="19">
        <f t="shared" si="372"/>
        <v>46000.236000000004</v>
      </c>
      <c r="AJ611" s="2"/>
      <c r="AW611" s="7"/>
    </row>
    <row r="612" spans="1:49" x14ac:dyDescent="0.25">
      <c r="A612" s="1"/>
      <c r="B612" s="1"/>
      <c r="C612" s="1"/>
      <c r="D612" s="64"/>
      <c r="E612" s="1"/>
      <c r="G612" s="1"/>
      <c r="H612" s="1"/>
      <c r="K612" s="64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2" t="str">
        <f t="shared" si="371"/>
        <v>Borussia Dortmund</v>
      </c>
      <c r="W612" s="2">
        <f t="shared" si="369"/>
        <v>3</v>
      </c>
      <c r="Y612" s="19">
        <f>RANK(AI612,$AI$605:$AI$622,0)+COUNTIF($AI$604:AI611,AI612)</f>
        <v>3</v>
      </c>
      <c r="Z612" s="19" t="str">
        <f t="shared" si="370"/>
        <v>Borussia Dortmund</v>
      </c>
      <c r="AA612" s="19">
        <f>COUNTIFS(F4:F331,Z612,G4:G331,"&gt;=0")+COUNTIFS(I4:I331,Z612,H4:H331,"&gt;=0")</f>
        <v>24</v>
      </c>
      <c r="AB612" s="19">
        <f>COUNTIFS(F4:F331,Z612,B4:B331,3)+COUNTIFS(I4:I331,Z612,M4:M331,3)</f>
        <v>14</v>
      </c>
      <c r="AC612" s="19">
        <f>COUNTIFS(F4:F331,Z612,B4:B331,1)+COUNTIFS(I4:I331,Z612,M4:M331,1)</f>
        <v>6</v>
      </c>
      <c r="AD612" s="19">
        <f>COUNTIFS(F4:F331,Z612,B4:B331,0)+COUNTIFS(I4:I331,Z612,M4:M331,0)</f>
        <v>4</v>
      </c>
      <c r="AE612" s="19">
        <f>SUMIF(F4:F331,Z612,G4:G331)+SUMIF(I4:I331,Z612,H4:H331)</f>
        <v>66</v>
      </c>
      <c r="AF612" s="19">
        <f>SUMIF(F4:F331,Z612,H4:H331)+SUMIF(I4:I331,Z612,G4:G331)</f>
        <v>32</v>
      </c>
      <c r="AG612" s="19">
        <f t="shared" si="373"/>
        <v>34</v>
      </c>
      <c r="AH612" s="19">
        <f t="shared" si="374"/>
        <v>48</v>
      </c>
      <c r="AI612" s="19">
        <f t="shared" si="372"/>
        <v>48000.405999999995</v>
      </c>
      <c r="AJ612" s="2"/>
      <c r="AW612" s="7"/>
    </row>
    <row r="613" spans="1:49" x14ac:dyDescent="0.25">
      <c r="A613" s="1"/>
      <c r="B613" s="1"/>
      <c r="C613" s="1"/>
      <c r="D613" s="64"/>
      <c r="E613" s="1"/>
      <c r="G613" s="1"/>
      <c r="H613" s="1"/>
      <c r="K613" s="64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2" t="str">
        <f t="shared" si="371"/>
        <v>Eintracht Frankfurt</v>
      </c>
      <c r="W613" s="2">
        <f t="shared" si="369"/>
        <v>12</v>
      </c>
      <c r="Y613" s="19">
        <f>RANK(AI613,$AI$605:$AI$622,0)+COUNTIF($AI$604:AI612,AI613)</f>
        <v>12</v>
      </c>
      <c r="Z613" s="19" t="str">
        <f t="shared" si="370"/>
        <v>Eintracht Frankfurt</v>
      </c>
      <c r="AA613" s="19">
        <f>COUNTIFS(F4:F331,Z613,G4:G331,"&gt;=0")+COUNTIFS(I4:I331,Z613,H4:H331,"&gt;=0")</f>
        <v>23</v>
      </c>
      <c r="AB613" s="19">
        <f>COUNTIFS(F4:F331,Z613,B4:B331,3)+COUNTIFS(I4:I331,Z613,M4:M331,3)</f>
        <v>8</v>
      </c>
      <c r="AC613" s="19">
        <f>COUNTIFS(F4:F331,Z613,B4:B331,1)+COUNTIFS(I4:I331,Z613,M4:M331,1)</f>
        <v>4</v>
      </c>
      <c r="AD613" s="19">
        <f>COUNTIFS(F4:F331,Z613,B4:B331,0)+COUNTIFS(I4:I331,Z613,M4:M331,0)</f>
        <v>11</v>
      </c>
      <c r="AE613" s="19">
        <f>SUMIF(F4:F331,Z613,G4:G331)+SUMIF(I4:I331,Z613,H4:H331)</f>
        <v>38</v>
      </c>
      <c r="AF613" s="19">
        <f>SUMIF(F4:F331,Z613,H4:H331)+SUMIF(I4:I331,Z613,G4:G331)</f>
        <v>37</v>
      </c>
      <c r="AG613" s="19">
        <f t="shared" si="373"/>
        <v>1</v>
      </c>
      <c r="AH613" s="19">
        <f t="shared" si="374"/>
        <v>28</v>
      </c>
      <c r="AI613" s="19">
        <f t="shared" si="372"/>
        <v>28000.047999999999</v>
      </c>
      <c r="AJ613" s="2"/>
      <c r="AW613" s="7"/>
    </row>
    <row r="614" spans="1:49" x14ac:dyDescent="0.25">
      <c r="A614" s="1"/>
      <c r="B614" s="1"/>
      <c r="C614" s="1"/>
      <c r="D614" s="64"/>
      <c r="E614" s="1"/>
      <c r="G614" s="1"/>
      <c r="H614" s="1"/>
      <c r="K614" s="64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2" t="str">
        <f t="shared" si="371"/>
        <v>FC Augsburg</v>
      </c>
      <c r="W614" s="2">
        <f t="shared" si="369"/>
        <v>13</v>
      </c>
      <c r="Y614" s="19">
        <f>RANK(AI614,$AI$605:$AI$622,0)+COUNTIF($AI$604:AI613,AI614)</f>
        <v>13</v>
      </c>
      <c r="Z614" s="19" t="str">
        <f t="shared" si="370"/>
        <v>FC Augsburg</v>
      </c>
      <c r="AA614" s="19">
        <f>COUNTIFS(F4:F331,Z614,G4:G331,"&gt;=0")+COUNTIFS(I4:I331,Z614,H4:H331,"&gt;=0")</f>
        <v>24</v>
      </c>
      <c r="AB614" s="19">
        <f>COUNTIFS(F4:F331,Z614,B4:B331,3)+COUNTIFS(I4:I331,Z614,M4:M331,3)</f>
        <v>7</v>
      </c>
      <c r="AC614" s="19">
        <f>COUNTIFS(F4:F331,Z614,B4:B331,1)+COUNTIFS(I4:I331,Z614,M4:M331,1)</f>
        <v>6</v>
      </c>
      <c r="AD614" s="19">
        <f>COUNTIFS(F4:F331,Z614,B4:B331,0)+COUNTIFS(I4:I331,Z614,M4:M331,0)</f>
        <v>11</v>
      </c>
      <c r="AE614" s="19">
        <f>SUMIF(F4:F331,Z614,G4:G331)+SUMIF(I4:I331,Z614,H4:H331)</f>
        <v>36</v>
      </c>
      <c r="AF614" s="19">
        <f>SUMIF(F4:F331,Z614,H4:H331)+SUMIF(I4:I331,Z614,G4:G331)</f>
        <v>50</v>
      </c>
      <c r="AG614" s="19">
        <f t="shared" si="373"/>
        <v>-14</v>
      </c>
      <c r="AH614" s="19">
        <f t="shared" si="374"/>
        <v>27</v>
      </c>
      <c r="AI614" s="19">
        <f t="shared" si="372"/>
        <v>26999.896000000001</v>
      </c>
      <c r="AJ614" s="2"/>
      <c r="AW614" s="7"/>
    </row>
    <row r="615" spans="1:49" x14ac:dyDescent="0.25">
      <c r="A615" s="1"/>
      <c r="B615" s="1"/>
      <c r="C615" s="1"/>
      <c r="D615" s="64"/>
      <c r="E615" s="1"/>
      <c r="G615" s="1"/>
      <c r="H615" s="1"/>
      <c r="K615" s="64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2" t="str">
        <f t="shared" si="371"/>
        <v>FC Schalke 04</v>
      </c>
      <c r="W615" s="2">
        <f t="shared" si="369"/>
        <v>6</v>
      </c>
      <c r="Y615" s="19">
        <f>RANK(AI615,$AI$605:$AI$622,0)+COUNTIF($AI$604:AI614,AI615)</f>
        <v>6</v>
      </c>
      <c r="Z615" s="19" t="str">
        <f t="shared" si="370"/>
        <v>FC Schalke 04</v>
      </c>
      <c r="AA615" s="19">
        <f>COUNTIFS(F4:F331,Z615,G4:G331,"&gt;=0")+COUNTIFS(I4:I331,Z615,H4:H331,"&gt;=0")</f>
        <v>24</v>
      </c>
      <c r="AB615" s="19">
        <f>COUNTIFS(F4:F331,Z615,B4:B331,3)+COUNTIFS(I4:I331,Z615,M4:M331,3)</f>
        <v>9</v>
      </c>
      <c r="AC615" s="19">
        <f>COUNTIFS(F4:F331,Z615,B4:B331,1)+COUNTIFS(I4:I331,Z615,M4:M331,1)</f>
        <v>9</v>
      </c>
      <c r="AD615" s="19">
        <f>COUNTIFS(F4:F331,Z615,B4:B331,0)+COUNTIFS(I4:I331,Z615,M4:M331,0)</f>
        <v>6</v>
      </c>
      <c r="AE615" s="19">
        <f>SUMIF(F4:F331,Z615,G4:G331)+SUMIF(I4:I331,Z615,H4:H331)</f>
        <v>32</v>
      </c>
      <c r="AF615" s="19">
        <f>SUMIF(F4:F331,Z615,H4:H331)+SUMIF(I4:I331,Z615,G4:G331)</f>
        <v>35</v>
      </c>
      <c r="AG615" s="19">
        <f t="shared" si="373"/>
        <v>-3</v>
      </c>
      <c r="AH615" s="19">
        <f t="shared" si="374"/>
        <v>36</v>
      </c>
      <c r="AI615" s="19">
        <f t="shared" si="372"/>
        <v>36000.002</v>
      </c>
      <c r="AJ615" s="2"/>
      <c r="AW615" s="7"/>
    </row>
    <row r="616" spans="1:49" x14ac:dyDescent="0.25">
      <c r="A616" s="1"/>
      <c r="B616" s="1"/>
      <c r="C616" s="1"/>
      <c r="D616" s="64"/>
      <c r="E616" s="1"/>
      <c r="G616" s="1"/>
      <c r="H616" s="1"/>
      <c r="K616" s="64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2" t="str">
        <f t="shared" si="371"/>
        <v>Fortuna Düsseldorf</v>
      </c>
      <c r="W616" s="2">
        <f t="shared" si="369"/>
        <v>16</v>
      </c>
      <c r="Y616" s="19">
        <f>RANK(AI616,$AI$605:$AI$622,0)+COUNTIF($AI$604:AI615,AI616)</f>
        <v>16</v>
      </c>
      <c r="Z616" s="19" t="str">
        <f t="shared" si="370"/>
        <v>Fortuna Düsseldorf</v>
      </c>
      <c r="AA616" s="19">
        <f>COUNTIFS(F4:F331,Z616,G4:G331,"&gt;=0")+COUNTIFS(I4:I331,Z616,H4:H331,"&gt;=0")</f>
        <v>24</v>
      </c>
      <c r="AB616" s="19">
        <f>COUNTIFS(F4:F331,Z616,B4:B331,3)+COUNTIFS(I4:I331,Z616,M4:M331,3)</f>
        <v>5</v>
      </c>
      <c r="AC616" s="19">
        <f>COUNTIFS(F4:F331,Z616,B4:B331,1)+COUNTIFS(I4:I331,Z616,M4:M331,1)</f>
        <v>6</v>
      </c>
      <c r="AD616" s="19">
        <f>COUNTIFS(F4:F331,Z616,B4:B331,0)+COUNTIFS(I4:I331,Z616,M4:M331,0)</f>
        <v>13</v>
      </c>
      <c r="AE616" s="19">
        <f>SUMIF(F4:F331,Z616,G4:G331)+SUMIF(I4:I331,Z616,H4:H331)</f>
        <v>26</v>
      </c>
      <c r="AF616" s="19">
        <f>SUMIF(F4:F331,Z616,H4:H331)+SUMIF(I4:I331,Z616,G4:G331)</f>
        <v>49</v>
      </c>
      <c r="AG616" s="19">
        <f t="shared" si="373"/>
        <v>-23</v>
      </c>
      <c r="AH616" s="19">
        <f t="shared" si="374"/>
        <v>21</v>
      </c>
      <c r="AI616" s="19">
        <f t="shared" si="372"/>
        <v>20999.796000000002</v>
      </c>
      <c r="AJ616" s="2"/>
      <c r="AW616" s="7"/>
    </row>
    <row r="617" spans="1:49" x14ac:dyDescent="0.25">
      <c r="A617" s="1"/>
      <c r="B617" s="1"/>
      <c r="C617" s="1"/>
      <c r="D617" s="64"/>
      <c r="E617" s="1"/>
      <c r="G617" s="1"/>
      <c r="H617" s="1"/>
      <c r="K617" s="64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2" t="str">
        <f t="shared" si="371"/>
        <v>Hertha BSC</v>
      </c>
      <c r="W617" s="2">
        <f t="shared" si="369"/>
        <v>14</v>
      </c>
      <c r="Y617" s="19">
        <f>RANK(AI617,$AI$605:$AI$622,0)+COUNTIF($AI$604:AI616,AI617)</f>
        <v>14</v>
      </c>
      <c r="Z617" s="19" t="str">
        <f t="shared" si="370"/>
        <v>Hertha BSC</v>
      </c>
      <c r="AA617" s="19">
        <f>COUNTIFS(F4:F331,Z617,G4:G331,"&gt;=0")+COUNTIFS(I4:I331,Z617,H4:H331,"&gt;=0")</f>
        <v>24</v>
      </c>
      <c r="AB617" s="19">
        <f>COUNTIFS(F4:F331,Z617,B4:B331,3)+COUNTIFS(I4:I331,Z617,M4:M331,3)</f>
        <v>7</v>
      </c>
      <c r="AC617" s="19">
        <f>COUNTIFS(F4:F331,Z617,B4:B331,1)+COUNTIFS(I4:I331,Z617,M4:M331,1)</f>
        <v>6</v>
      </c>
      <c r="AD617" s="19">
        <f>COUNTIFS(F4:F331,Z617,B4:B331,0)+COUNTIFS(I4:I331,Z617,M4:M331,0)</f>
        <v>11</v>
      </c>
      <c r="AE617" s="19">
        <f>SUMIF(F4:F331,Z617,G4:G331)+SUMIF(I4:I331,Z617,H4:H331)</f>
        <v>30</v>
      </c>
      <c r="AF617" s="19">
        <f>SUMIF(F4:F331,Z617,H4:H331)+SUMIF(I4:I331,Z617,G4:G331)</f>
        <v>46</v>
      </c>
      <c r="AG617" s="19">
        <f t="shared" si="373"/>
        <v>-16</v>
      </c>
      <c r="AH617" s="19">
        <f t="shared" si="374"/>
        <v>27</v>
      </c>
      <c r="AI617" s="19">
        <f t="shared" si="372"/>
        <v>26999.87</v>
      </c>
      <c r="AJ617" s="2"/>
      <c r="AW617" s="7"/>
    </row>
    <row r="618" spans="1:49" x14ac:dyDescent="0.25">
      <c r="A618" s="1"/>
      <c r="B618" s="1"/>
      <c r="C618" s="1"/>
      <c r="D618" s="64"/>
      <c r="E618" s="1"/>
      <c r="G618" s="1"/>
      <c r="H618" s="1"/>
      <c r="K618" s="64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2" t="str">
        <f t="shared" si="371"/>
        <v>RB Leipzig</v>
      </c>
      <c r="W618" s="2">
        <f t="shared" si="369"/>
        <v>2</v>
      </c>
      <c r="Y618" s="19">
        <f>RANK(AI618,$AI$605:$AI$622,0)+COUNTIF($AI$604:AI617,AI618)</f>
        <v>2</v>
      </c>
      <c r="Z618" s="19" t="str">
        <f t="shared" si="370"/>
        <v>RB Leipzig</v>
      </c>
      <c r="AA618" s="19">
        <f>COUNTIFS(F4:F331,Z618,G4:G331,"&gt;=0")+COUNTIFS(I4:I331,Z618,H4:H331,"&gt;=0")</f>
        <v>24</v>
      </c>
      <c r="AB618" s="19">
        <f>COUNTIFS(F4:F331,Z618,B4:B331,3)+COUNTIFS(I4:I331,Z618,M4:M331,3)</f>
        <v>14</v>
      </c>
      <c r="AC618" s="19">
        <f>COUNTIFS(F4:F331,Z618,B4:B331,1)+COUNTIFS(I4:I331,Z618,M4:M331,1)</f>
        <v>7</v>
      </c>
      <c r="AD618" s="19">
        <f>COUNTIFS(F4:F331,Z618,B4:B331,0)+COUNTIFS(I4:I331,Z618,M4:M331,0)</f>
        <v>3</v>
      </c>
      <c r="AE618" s="19">
        <f>SUMIF(F4:F331,Z618,G4:G331)+SUMIF(I4:I331,Z618,H4:H331)</f>
        <v>62</v>
      </c>
      <c r="AF618" s="19">
        <f>SUMIF(F4:F331,Z618,H4:H331)+SUMIF(I4:I331,Z618,G4:G331)</f>
        <v>26</v>
      </c>
      <c r="AG618" s="19">
        <f t="shared" si="373"/>
        <v>36</v>
      </c>
      <c r="AH618" s="19">
        <f t="shared" si="374"/>
        <v>49</v>
      </c>
      <c r="AI618" s="19">
        <f t="shared" si="372"/>
        <v>49000.421999999999</v>
      </c>
      <c r="AJ618" s="2"/>
      <c r="AW618" s="7"/>
    </row>
    <row r="619" spans="1:49" x14ac:dyDescent="0.25">
      <c r="A619" s="1"/>
      <c r="B619" s="1"/>
      <c r="C619" s="1"/>
      <c r="D619" s="64"/>
      <c r="E619" s="1"/>
      <c r="G619" s="1"/>
      <c r="H619" s="1"/>
      <c r="K619" s="64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2" t="str">
        <f t="shared" si="371"/>
        <v>SC Freiburg</v>
      </c>
      <c r="W619" s="2">
        <f t="shared" si="369"/>
        <v>9</v>
      </c>
      <c r="Y619" s="19">
        <f>RANK(AI619,$AI$605:$AI$622,0)+COUNTIF($AI$604:AI618,AI619)</f>
        <v>9</v>
      </c>
      <c r="Z619" s="19" t="str">
        <f t="shared" si="370"/>
        <v>SC Freiburg</v>
      </c>
      <c r="AA619" s="19">
        <f>COUNTIFS(F4:F331,Z619,G4:G331,"&gt;=0")+COUNTIFS(I4:I331,Z619,H4:H331,"&gt;=0")</f>
        <v>24</v>
      </c>
      <c r="AB619" s="19">
        <f>COUNTIFS(F4:F331,Z619,B4:B331,3)+COUNTIFS(I4:I331,Z619,M4:M331,3)</f>
        <v>9</v>
      </c>
      <c r="AC619" s="19">
        <f>COUNTIFS(F4:F331,Z619,B4:B331,1)+COUNTIFS(I4:I331,Z619,M4:M331,1)</f>
        <v>6</v>
      </c>
      <c r="AD619" s="19">
        <f>COUNTIFS(F4:F331,Z619,B4:B331,0)+COUNTIFS(I4:I331,Z619,M4:M331,0)</f>
        <v>9</v>
      </c>
      <c r="AE619" s="19">
        <f>SUMIF(F4:F331,Z619,G4:G331)+SUMIF(I4:I331,Z619,H4:H331)</f>
        <v>31</v>
      </c>
      <c r="AF619" s="19">
        <f>SUMIF(F4:F331,Z619,H4:H331)+SUMIF(I4:I331,Z619,G4:G331)</f>
        <v>34</v>
      </c>
      <c r="AG619" s="19">
        <f t="shared" si="373"/>
        <v>-3</v>
      </c>
      <c r="AH619" s="19">
        <f t="shared" si="374"/>
        <v>33</v>
      </c>
      <c r="AI619" s="19">
        <f t="shared" si="372"/>
        <v>33000.001000000004</v>
      </c>
      <c r="AJ619" s="2"/>
      <c r="AW619" s="7"/>
    </row>
    <row r="620" spans="1:49" x14ac:dyDescent="0.25">
      <c r="A620" s="1"/>
      <c r="B620" s="1"/>
      <c r="C620" s="1"/>
      <c r="D620" s="64"/>
      <c r="E620" s="1"/>
      <c r="G620" s="1"/>
      <c r="H620" s="1"/>
      <c r="K620" s="64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2" t="str">
        <f t="shared" si="371"/>
        <v>SC Paderborn 07</v>
      </c>
      <c r="W620" s="2">
        <f t="shared" si="369"/>
        <v>18</v>
      </c>
      <c r="Y620" s="19">
        <f>RANK(AI620,$AI$605:$AI$622,0)+COUNTIF($AI$604:AI619,AI620)</f>
        <v>18</v>
      </c>
      <c r="Z620" s="19" t="str">
        <f t="shared" si="370"/>
        <v>SC Paderborn 07</v>
      </c>
      <c r="AA620" s="19">
        <f>COUNTIFS(F4:F331,Z620,G4:G331,"&gt;=0")+COUNTIFS(I4:I331,Z620,H4:H331,"&gt;=0")</f>
        <v>24</v>
      </c>
      <c r="AB620" s="19">
        <f>COUNTIFS(F4:F331,Z620,B4:B331,3)+COUNTIFS(I4:I331,Z620,M4:M331,3)</f>
        <v>4</v>
      </c>
      <c r="AC620" s="19">
        <f>COUNTIFS(F4:F331,Z620,B4:B331,1)+COUNTIFS(I4:I331,Z620,M4:M331,1)</f>
        <v>4</v>
      </c>
      <c r="AD620" s="19">
        <f>COUNTIFS(F4:F331,Z620,B4:B331,0)+COUNTIFS(I4:I331,Z620,M4:M331,0)</f>
        <v>16</v>
      </c>
      <c r="AE620" s="19">
        <f>SUMIF(F4:F331,Z620,G4:G331)+SUMIF(I4:I331,Z620,H4:H331)</f>
        <v>29</v>
      </c>
      <c r="AF620" s="19">
        <f>SUMIF(F4:F331,Z620,H4:H331)+SUMIF(I4:I331,Z620,G4:G331)</f>
        <v>52</v>
      </c>
      <c r="AG620" s="19">
        <f t="shared" si="373"/>
        <v>-23</v>
      </c>
      <c r="AH620" s="19">
        <f t="shared" si="374"/>
        <v>16</v>
      </c>
      <c r="AI620" s="19">
        <f t="shared" si="372"/>
        <v>15999.799000000001</v>
      </c>
      <c r="AW620" s="7"/>
    </row>
    <row r="621" spans="1:49" x14ac:dyDescent="0.25">
      <c r="A621" s="1"/>
      <c r="B621" s="1"/>
      <c r="C621" s="1"/>
      <c r="D621" s="64"/>
      <c r="E621" s="1"/>
      <c r="G621" s="1"/>
      <c r="H621" s="1"/>
      <c r="K621" s="64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2" t="str">
        <f t="shared" si="371"/>
        <v>VfL Wolfsburg</v>
      </c>
      <c r="W621" s="2">
        <f t="shared" si="369"/>
        <v>7</v>
      </c>
      <c r="Y621" s="19">
        <f>RANK(AI621,$AI$605:$AI$622,0)+COUNTIF($AI$604:AI620,AI621)</f>
        <v>7</v>
      </c>
      <c r="Z621" s="19" t="str">
        <f t="shared" si="370"/>
        <v>VfL Wolfsburg</v>
      </c>
      <c r="AA621" s="19">
        <f>COUNTIFS(F4:F331,Z621,G4:G331,"&gt;=0")+COUNTIFS(I4:I331,Z621,H4:H331,"&gt;=0")</f>
        <v>24</v>
      </c>
      <c r="AB621" s="19">
        <f>COUNTIFS(F4:F331,Z621,B4:B331,3)+COUNTIFS(I4:I331,Z621,M4:M331,3)</f>
        <v>9</v>
      </c>
      <c r="AC621" s="19">
        <f>COUNTIFS(F4:F331,Z621,B4:B331,1)+COUNTIFS(I4:I331,Z621,M4:M331,1)</f>
        <v>8</v>
      </c>
      <c r="AD621" s="19">
        <f>COUNTIFS(F4:F331,Z621,B4:B331,0)+COUNTIFS(I4:I331,Z621,M4:M331,0)</f>
        <v>7</v>
      </c>
      <c r="AE621" s="19">
        <f>SUMIF(F4:F331,Z621,G4:G331)+SUMIF(I4:I331,Z621,H4:H331)</f>
        <v>34</v>
      </c>
      <c r="AF621" s="19">
        <f>SUMIF(F4:F331,Z621,H4:H331)+SUMIF(I4:I331,Z621,G4:G331)</f>
        <v>30</v>
      </c>
      <c r="AG621" s="19">
        <f t="shared" si="373"/>
        <v>4</v>
      </c>
      <c r="AH621" s="19">
        <f t="shared" si="374"/>
        <v>35</v>
      </c>
      <c r="AI621" s="19">
        <f t="shared" si="372"/>
        <v>35000.074000000001</v>
      </c>
      <c r="AJ621" s="2"/>
      <c r="AW621" s="7"/>
    </row>
    <row r="622" spans="1:49" x14ac:dyDescent="0.25">
      <c r="A622" s="1"/>
      <c r="B622" s="1"/>
      <c r="C622" s="1"/>
      <c r="D622" s="64"/>
      <c r="E622" s="1"/>
      <c r="G622" s="1"/>
      <c r="H622" s="1"/>
      <c r="K622" s="64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2" t="str">
        <f t="shared" si="371"/>
        <v>Werder Bremen</v>
      </c>
      <c r="W622" s="2">
        <f t="shared" si="369"/>
        <v>17</v>
      </c>
      <c r="Y622" s="19">
        <f>RANK(AI622,$AI$605:$AI$622,0)+COUNTIF($AI$604:AI621,AI622)</f>
        <v>17</v>
      </c>
      <c r="Z622" s="19" t="str">
        <f t="shared" si="370"/>
        <v>Werder Bremen</v>
      </c>
      <c r="AA622" s="19">
        <f>COUNTIFS(F4:F331,Z622,G4:G331,"&gt;=0")+COUNTIFS(I4:I331,Z622,H4:H331,"&gt;=0")</f>
        <v>23</v>
      </c>
      <c r="AB622" s="19">
        <f>COUNTIFS(F4:F331,Z622,B4:B331,3)+COUNTIFS(I4:I331,Z622,M4:M331,3)</f>
        <v>4</v>
      </c>
      <c r="AC622" s="19">
        <f>COUNTIFS(F4:F331,Z622,B4:B331,1)+COUNTIFS(I4:I331,Z622,M4:M331,1)</f>
        <v>5</v>
      </c>
      <c r="AD622" s="19">
        <f>COUNTIFS(F4:F331,Z622,B4:B331,0)+COUNTIFS(I4:I331,Z622,M4:M331,0)</f>
        <v>14</v>
      </c>
      <c r="AE622" s="19">
        <f>SUMIF(F4:F331,Z622,G4:G331)+SUMIF(I4:I331,Z622,H4:H331)</f>
        <v>25</v>
      </c>
      <c r="AF622" s="19">
        <f>SUMIF(F4:F331,Z622,H4:H331)+SUMIF(I4:I331,Z622,G4:G331)</f>
        <v>53</v>
      </c>
      <c r="AG622" s="19">
        <f t="shared" si="373"/>
        <v>-28</v>
      </c>
      <c r="AH622" s="19">
        <f t="shared" si="374"/>
        <v>17</v>
      </c>
      <c r="AI622" s="19">
        <f t="shared" si="372"/>
        <v>16999.745000000003</v>
      </c>
      <c r="AJ622" s="2"/>
      <c r="AW622" s="7"/>
    </row>
    <row r="623" spans="1:49" x14ac:dyDescent="0.25">
      <c r="A623" s="1"/>
      <c r="B623" s="1"/>
      <c r="C623" s="1"/>
      <c r="D623" s="64"/>
      <c r="E623" s="1"/>
      <c r="G623" s="1"/>
      <c r="H623" s="1"/>
      <c r="K623" s="64"/>
      <c r="L623" s="1"/>
      <c r="M623" s="1"/>
      <c r="N623" s="1"/>
      <c r="O623" s="1"/>
      <c r="P623" s="1"/>
      <c r="Q623" s="1"/>
      <c r="R623" s="1"/>
      <c r="S623" s="1"/>
      <c r="T623" s="1"/>
      <c r="U623" s="1"/>
      <c r="AJ623" s="2"/>
      <c r="AW623" s="7"/>
    </row>
    <row r="624" spans="1:49" x14ac:dyDescent="0.25">
      <c r="A624" s="1"/>
      <c r="B624" s="1"/>
      <c r="C624" s="1"/>
      <c r="D624" s="64"/>
      <c r="E624" s="1"/>
      <c r="G624" s="1"/>
      <c r="H624" s="1"/>
      <c r="K624" s="64"/>
      <c r="L624" s="1"/>
      <c r="M624" s="1"/>
      <c r="N624" s="1"/>
      <c r="O624" s="1"/>
      <c r="P624" s="1"/>
      <c r="Q624" s="1"/>
      <c r="R624" s="1"/>
      <c r="S624" s="1"/>
      <c r="T624" s="1"/>
      <c r="U624" s="1"/>
      <c r="W624" s="18">
        <v>31</v>
      </c>
      <c r="Y624" s="19"/>
      <c r="Z624" s="19" t="s">
        <v>1</v>
      </c>
      <c r="AA624" s="19" t="s">
        <v>2</v>
      </c>
      <c r="AB624" s="19" t="s">
        <v>3</v>
      </c>
      <c r="AC624" s="19" t="s">
        <v>4</v>
      </c>
      <c r="AD624" s="19" t="s">
        <v>5</v>
      </c>
      <c r="AE624" s="19" t="s">
        <v>6</v>
      </c>
      <c r="AF624" s="19" t="s">
        <v>7</v>
      </c>
      <c r="AG624" s="19" t="s">
        <v>8</v>
      </c>
      <c r="AH624" s="19" t="s">
        <v>9</v>
      </c>
      <c r="AI624" s="19" t="s">
        <v>0</v>
      </c>
      <c r="AJ624" s="2"/>
      <c r="AW624" s="7"/>
    </row>
    <row r="625" spans="1:49" x14ac:dyDescent="0.25">
      <c r="A625" s="1"/>
      <c r="B625" s="1"/>
      <c r="C625" s="1"/>
      <c r="D625" s="64"/>
      <c r="E625" s="1"/>
      <c r="G625" s="1"/>
      <c r="H625" s="1"/>
      <c r="K625" s="64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2" t="str">
        <f>CONCATENATE(Z625)</f>
        <v>1. FC Köln</v>
      </c>
      <c r="W625" s="2">
        <f t="shared" ref="W625:W642" si="375">Y625</f>
        <v>11</v>
      </c>
      <c r="Y625" s="19">
        <f>RANK(AI625,$AI$625:$AI$642,0)+COUNTIF($AI$624:AI624,AI625)</f>
        <v>11</v>
      </c>
      <c r="Z625" s="19" t="str">
        <f t="shared" ref="Z625:Z642" si="376">CONCATENATE(Z5)</f>
        <v>1. FC Köln</v>
      </c>
      <c r="AA625" s="19">
        <f>COUNTIFS(F4:F342,Z625,G4:G342,"&gt;=0")+COUNTIFS(I4:I342,Z625,H4:H342,"&gt;=0")</f>
        <v>23</v>
      </c>
      <c r="AB625" s="19">
        <f>COUNTIFS(F4:F342,Z625,B4:B342,3)+COUNTIFS(I4:I342,Z625,M4:M342,3)</f>
        <v>9</v>
      </c>
      <c r="AC625" s="19">
        <f>COUNTIFS(F4:F342,Z625,B4:B342,1)+COUNTIFS(I4:I342,Z625,M4:M342,1)</f>
        <v>2</v>
      </c>
      <c r="AD625" s="19">
        <f>COUNTIFS(F4:F342,Z625,B4:B342,0)+COUNTIFS(I4:I342,Z625,M4:M342,0)</f>
        <v>12</v>
      </c>
      <c r="AE625" s="19">
        <f>SUMIF(F4:F342,Z625,G4:G342)+SUMIF(I4:I342,Z625,H4:H342)</f>
        <v>36</v>
      </c>
      <c r="AF625" s="19">
        <f>SUMIF(F4:F342,Z625,H4:H342)+SUMIF(I4:I342,Z625,G4:G342)</f>
        <v>42</v>
      </c>
      <c r="AG625" s="19">
        <f>+AE625-AF625</f>
        <v>-6</v>
      </c>
      <c r="AH625" s="19">
        <f>(AB625*3)+AC625</f>
        <v>29</v>
      </c>
      <c r="AI625" s="19">
        <f>SUM(AH625*1000+(AG625)/100+(AE625)/1000)</f>
        <v>28999.975999999999</v>
      </c>
      <c r="AJ625" s="2"/>
      <c r="AW625" s="7"/>
    </row>
    <row r="626" spans="1:49" x14ac:dyDescent="0.25">
      <c r="A626" s="1"/>
      <c r="B626" s="1"/>
      <c r="C626" s="1"/>
      <c r="D626" s="64"/>
      <c r="E626" s="1"/>
      <c r="G626" s="1"/>
      <c r="H626" s="1"/>
      <c r="K626" s="64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2" t="str">
        <f t="shared" ref="V626:V642" si="377">CONCATENATE(Z626)</f>
        <v>1. FC Union Berlin</v>
      </c>
      <c r="W626" s="2">
        <f t="shared" si="375"/>
        <v>10</v>
      </c>
      <c r="Y626" s="19">
        <f>RANK(AI626,$AI$625:$AI$642,0)+COUNTIF($AI$624:AI625,AI626)</f>
        <v>10</v>
      </c>
      <c r="Z626" s="19" t="str">
        <f t="shared" si="376"/>
        <v>1. FC Union Berlin</v>
      </c>
      <c r="AA626" s="19">
        <f>COUNTIFS(F4:F342,Z626,G4:G342,"&gt;=0")+COUNTIFS(I4:I342,Z626,H4:H342,"&gt;=0")</f>
        <v>24</v>
      </c>
      <c r="AB626" s="19">
        <f>COUNTIFS(F4:F342,Z626,B4:B342,3)+COUNTIFS(I4:I342,Z626,M4:M342,3)</f>
        <v>9</v>
      </c>
      <c r="AC626" s="19">
        <f>COUNTIFS(F4:F342,Z626,B4:B342,1)+COUNTIFS(I4:I342,Z626,M4:M342,1)</f>
        <v>3</v>
      </c>
      <c r="AD626" s="19">
        <f>COUNTIFS(F4:F342,Z626,B4:B342,0)+COUNTIFS(I4:I342,Z626,M4:M342,0)</f>
        <v>12</v>
      </c>
      <c r="AE626" s="19">
        <f>SUMIF(F4:F342,Z626,G4:G342)+SUMIF(I4:I342,Z626,H4:H342)</f>
        <v>31</v>
      </c>
      <c r="AF626" s="19">
        <f>SUMIF(F4:F342,Z626,H4:H342)+SUMIF(I4:I342,Z626,G4:G342)</f>
        <v>38</v>
      </c>
      <c r="AG626" s="19">
        <f>+AE626-AF626</f>
        <v>-7</v>
      </c>
      <c r="AH626" s="19">
        <f>(AB626*3)+AC626</f>
        <v>30</v>
      </c>
      <c r="AI626" s="19">
        <f t="shared" ref="AI626:AI642" si="378">SUM(AH626*1000+(AG626)/100+(AE626)/1000)</f>
        <v>29999.960999999999</v>
      </c>
      <c r="AJ626" s="2"/>
      <c r="AW626" s="7"/>
    </row>
    <row r="627" spans="1:49" x14ac:dyDescent="0.25">
      <c r="A627" s="1"/>
      <c r="B627" s="1"/>
      <c r="C627" s="1"/>
      <c r="D627" s="64"/>
      <c r="E627" s="1"/>
      <c r="G627" s="1"/>
      <c r="H627" s="1"/>
      <c r="K627" s="64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2" t="str">
        <f t="shared" si="377"/>
        <v>1. FSV Mainz 05</v>
      </c>
      <c r="W627" s="2">
        <f t="shared" si="375"/>
        <v>15</v>
      </c>
      <c r="Y627" s="19">
        <f>RANK(AI627,$AI$625:$AI$642,0)+COUNTIF($AI$624:AI626,AI627)</f>
        <v>15</v>
      </c>
      <c r="Z627" s="19" t="str">
        <f t="shared" si="376"/>
        <v>1. FSV Mainz 05</v>
      </c>
      <c r="AA627" s="19">
        <f>COUNTIFS(F4:F342,Z627,G4:G342,"&gt;=0")+COUNTIFS(I4:I342,Z627,H4:H342,"&gt;=0")</f>
        <v>24</v>
      </c>
      <c r="AB627" s="19">
        <f>COUNTIFS(F4:F342,Z627,B4:B342,3)+COUNTIFS(I4:I342,Z627,M4:M342,3)</f>
        <v>8</v>
      </c>
      <c r="AC627" s="19">
        <f>COUNTIFS(F4:F342,Z627,B4:B342,1)+COUNTIFS(I4:I342,Z627,M4:M342,1)</f>
        <v>1</v>
      </c>
      <c r="AD627" s="19">
        <f>COUNTIFS(F4:F342,Z627,B4:B342,0)+COUNTIFS(I4:I342,Z627,M4:M342,0)</f>
        <v>15</v>
      </c>
      <c r="AE627" s="19">
        <f>SUMIF(F4:F342,Z627,G4:G342)+SUMIF(I4:I342,Z627,H4:H342)</f>
        <v>33</v>
      </c>
      <c r="AF627" s="19">
        <f>SUMIF(F4:F342,Z627,H4:H342)+SUMIF(I4:I342,Z627,G4:G342)</f>
        <v>52</v>
      </c>
      <c r="AG627" s="19">
        <f>+AE627-AF627</f>
        <v>-19</v>
      </c>
      <c r="AH627" s="19">
        <f>(AB627*3)+AC627</f>
        <v>25</v>
      </c>
      <c r="AI627" s="19">
        <f t="shared" si="378"/>
        <v>24999.843000000001</v>
      </c>
      <c r="AJ627" s="2"/>
      <c r="AW627" s="7"/>
    </row>
    <row r="628" spans="1:49" x14ac:dyDescent="0.25">
      <c r="A628" s="1"/>
      <c r="B628" s="1"/>
      <c r="C628" s="1"/>
      <c r="D628" s="64"/>
      <c r="E628" s="1"/>
      <c r="G628" s="1"/>
      <c r="H628" s="1"/>
      <c r="K628" s="64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2" t="str">
        <f t="shared" si="377"/>
        <v>1899 Hoffenheim</v>
      </c>
      <c r="W628" s="2">
        <f t="shared" si="375"/>
        <v>8</v>
      </c>
      <c r="Y628" s="19">
        <f>RANK(AI628,$AI$625:$AI$642,0)+COUNTIF($AI$624:AI627,AI628)</f>
        <v>8</v>
      </c>
      <c r="Z628" s="19" t="str">
        <f t="shared" si="376"/>
        <v>1899 Hoffenheim</v>
      </c>
      <c r="AA628" s="19">
        <f>COUNTIFS(F4:F342,Z628,G4:G342,"&gt;=0")+COUNTIFS(I4:I342,Z628,H4:H342,"&gt;=0")</f>
        <v>24</v>
      </c>
      <c r="AB628" s="19">
        <f>COUNTIFS(F4:F342,Z628,B4:B342,3)+COUNTIFS(I4:I342,Z628,M4:M342,3)</f>
        <v>10</v>
      </c>
      <c r="AC628" s="19">
        <f>COUNTIFS(F4:F342,Z628,B4:B342,1)+COUNTIFS(I4:I342,Z628,M4:M342,1)</f>
        <v>4</v>
      </c>
      <c r="AD628" s="19">
        <f>COUNTIFS(F4:F342,Z628,B4:B342,0)+COUNTIFS(I4:I342,Z628,M4:M342,0)</f>
        <v>10</v>
      </c>
      <c r="AE628" s="19">
        <f>SUMIF(F4:F342,Z628,G4:G342)+SUMIF(I4:I342,Z628,H4:H342)</f>
        <v>34</v>
      </c>
      <c r="AF628" s="19">
        <f>SUMIF(F4:F342,Z628,H4:H342)+SUMIF(I4:I342,Z628,G4:G342)</f>
        <v>42</v>
      </c>
      <c r="AG628" s="19">
        <f t="shared" ref="AG628:AG642" si="379">+AE628-AF628</f>
        <v>-8</v>
      </c>
      <c r="AH628" s="19">
        <f>(AB628*3)+AC628</f>
        <v>34</v>
      </c>
      <c r="AI628" s="19">
        <f t="shared" si="378"/>
        <v>33999.953999999998</v>
      </c>
      <c r="AJ628" s="2"/>
      <c r="AW628" s="7"/>
    </row>
    <row r="629" spans="1:49" x14ac:dyDescent="0.25">
      <c r="A629" s="1"/>
      <c r="B629" s="1"/>
      <c r="C629" s="1"/>
      <c r="D629" s="64"/>
      <c r="E629" s="1"/>
      <c r="G629" s="1"/>
      <c r="H629" s="1"/>
      <c r="K629" s="64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2" t="str">
        <f t="shared" si="377"/>
        <v>Bayer Leverkusen</v>
      </c>
      <c r="W629" s="2">
        <f t="shared" si="375"/>
        <v>5</v>
      </c>
      <c r="Y629" s="19">
        <f>RANK(AI629,$AI$625:$AI$642,0)+COUNTIF($AI$624:AI628,AI629)</f>
        <v>5</v>
      </c>
      <c r="Z629" s="19" t="str">
        <f t="shared" si="376"/>
        <v>Bayer Leverkusen</v>
      </c>
      <c r="AA629" s="19">
        <f>COUNTIFS(F4:F342,Z629,G4:G342,"&gt;=0")+COUNTIFS(I4:I342,Z629,H4:H342,"&gt;=0")</f>
        <v>24</v>
      </c>
      <c r="AB629" s="19">
        <f>COUNTIFS(F4:F342,Z629,B4:B342,3)+COUNTIFS(I4:I342,Z629,M4:M342,3)</f>
        <v>13</v>
      </c>
      <c r="AC629" s="19">
        <f>COUNTIFS(F4:F342,Z629,B4:B342,1)+COUNTIFS(I4:I342,Z629,M4:M342,1)</f>
        <v>5</v>
      </c>
      <c r="AD629" s="19">
        <f>COUNTIFS(F4:F342,Z629,B4:B342,0)+COUNTIFS(I4:I342,Z629,M4:M342,0)</f>
        <v>6</v>
      </c>
      <c r="AE629" s="19">
        <f>SUMIF(F4:F342,Z629,G4:G342)+SUMIF(I4:I342,Z629,H4:H342)</f>
        <v>41</v>
      </c>
      <c r="AF629" s="19">
        <f>SUMIF(F4:F342,Z629,H4:H342)+SUMIF(I4:I342,Z629,G4:G342)</f>
        <v>30</v>
      </c>
      <c r="AG629" s="19">
        <f t="shared" si="379"/>
        <v>11</v>
      </c>
      <c r="AH629" s="19">
        <f>(AB629*3)+AC629</f>
        <v>44</v>
      </c>
      <c r="AI629" s="19">
        <f t="shared" si="378"/>
        <v>44000.150999999998</v>
      </c>
      <c r="AJ629" s="2"/>
      <c r="AW629" s="7"/>
    </row>
    <row r="630" spans="1:49" x14ac:dyDescent="0.25">
      <c r="A630" s="1"/>
      <c r="B630" s="1"/>
      <c r="C630" s="1"/>
      <c r="D630" s="64"/>
      <c r="E630" s="1"/>
      <c r="G630" s="1"/>
      <c r="H630" s="1"/>
      <c r="K630" s="64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2" t="str">
        <f t="shared" si="377"/>
        <v>Bayern München</v>
      </c>
      <c r="W630" s="2">
        <f t="shared" si="375"/>
        <v>1</v>
      </c>
      <c r="Y630" s="19">
        <f>RANK(AI630,$AI$625:$AI$642,0)+COUNTIF($AI$624:AI629,AI630)</f>
        <v>1</v>
      </c>
      <c r="Z630" s="19" t="str">
        <f t="shared" si="376"/>
        <v>Bayern München</v>
      </c>
      <c r="AA630" s="19">
        <f>COUNTIFS(F4:F342,Z630,G4:G342,"&gt;=0")+COUNTIFS(I4:I342,Z630,H4:H342,"&gt;=0")</f>
        <v>24</v>
      </c>
      <c r="AB630" s="19">
        <f>COUNTIFS(F4:F342,Z630,B4:B342,3)+COUNTIFS(I4:I342,Z630,M4:M342,3)</f>
        <v>16</v>
      </c>
      <c r="AC630" s="19">
        <f>COUNTIFS(F4:F342,Z630,B4:B342,1)+COUNTIFS(I4:I342,Z630,M4:M342,1)</f>
        <v>4</v>
      </c>
      <c r="AD630" s="19">
        <f>COUNTIFS(F4:F342,Z630,B4:B342,0)+COUNTIFS(I4:I342,Z630,M4:M342,0)</f>
        <v>4</v>
      </c>
      <c r="AE630" s="19">
        <f>SUMIF(F4:F342,Z630,G4:G342)+SUMIF(I4:I342,Z630,H4:H342)</f>
        <v>71</v>
      </c>
      <c r="AF630" s="19">
        <f>SUMIF(F4:F342,Z630,H4:H342)+SUMIF(I4:I342,Z630,G4:G342)</f>
        <v>26</v>
      </c>
      <c r="AG630" s="19">
        <f t="shared" si="379"/>
        <v>45</v>
      </c>
      <c r="AH630" s="19">
        <f t="shared" ref="AH630:AH642" si="380">(AB630*3)+AC630</f>
        <v>52</v>
      </c>
      <c r="AI630" s="19">
        <f t="shared" si="378"/>
        <v>52000.521000000001</v>
      </c>
      <c r="AJ630" s="2"/>
      <c r="AW630" s="7"/>
    </row>
    <row r="631" spans="1:49" x14ac:dyDescent="0.25">
      <c r="A631" s="1"/>
      <c r="B631" s="1"/>
      <c r="C631" s="1"/>
      <c r="D631" s="64"/>
      <c r="E631" s="1"/>
      <c r="G631" s="1"/>
      <c r="H631" s="1"/>
      <c r="K631" s="64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2" t="str">
        <f t="shared" si="377"/>
        <v>Bor. Mönchengladbach</v>
      </c>
      <c r="W631" s="2">
        <f t="shared" si="375"/>
        <v>4</v>
      </c>
      <c r="Y631" s="19">
        <f>RANK(AI631,$AI$625:$AI$642,0)+COUNTIF($AI$624:AI630,AI631)</f>
        <v>4</v>
      </c>
      <c r="Z631" s="19" t="str">
        <f t="shared" si="376"/>
        <v>Bor. Mönchengladbach</v>
      </c>
      <c r="AA631" s="19">
        <f>COUNTIFS(F4:F342,Z631,G4:G342,"&gt;=0")+COUNTIFS(I4:I342,Z631,H4:H342,"&gt;=0")</f>
        <v>23</v>
      </c>
      <c r="AB631" s="19">
        <f>COUNTIFS(F4:F342,Z631,B4:B342,3)+COUNTIFS(I4:I342,Z631,M4:M342,3)</f>
        <v>14</v>
      </c>
      <c r="AC631" s="19">
        <f>COUNTIFS(F4:F342,Z631,B4:B342,1)+COUNTIFS(I4:I342,Z631,M4:M342,1)</f>
        <v>4</v>
      </c>
      <c r="AD631" s="19">
        <f>COUNTIFS(F4:F342,Z631,B4:B342,0)+COUNTIFS(I4:I342,Z631,M4:M342,0)</f>
        <v>5</v>
      </c>
      <c r="AE631" s="19">
        <f>SUMIF(F4:F342,Z631,G4:G342)+SUMIF(I4:I342,Z631,H4:H342)</f>
        <v>46</v>
      </c>
      <c r="AF631" s="19">
        <f>SUMIF(F4:F342,Z631,H4:H342)+SUMIF(I4:I342,Z631,G4:G342)</f>
        <v>27</v>
      </c>
      <c r="AG631" s="19">
        <f t="shared" si="379"/>
        <v>19</v>
      </c>
      <c r="AH631" s="19">
        <f t="shared" si="380"/>
        <v>46</v>
      </c>
      <c r="AI631" s="19">
        <f t="shared" si="378"/>
        <v>46000.236000000004</v>
      </c>
      <c r="AJ631" s="2"/>
      <c r="AW631" s="7"/>
    </row>
    <row r="632" spans="1:49" x14ac:dyDescent="0.25">
      <c r="A632" s="1"/>
      <c r="B632" s="1"/>
      <c r="C632" s="1"/>
      <c r="D632" s="64"/>
      <c r="E632" s="1"/>
      <c r="G632" s="1"/>
      <c r="H632" s="1"/>
      <c r="K632" s="64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2" t="str">
        <f t="shared" si="377"/>
        <v>Borussia Dortmund</v>
      </c>
      <c r="W632" s="2">
        <f t="shared" si="375"/>
        <v>3</v>
      </c>
      <c r="Y632" s="19">
        <f>RANK(AI632,$AI$625:$AI$642,0)+COUNTIF($AI$624:AI631,AI632)</f>
        <v>3</v>
      </c>
      <c r="Z632" s="19" t="str">
        <f t="shared" si="376"/>
        <v>Borussia Dortmund</v>
      </c>
      <c r="AA632" s="19">
        <f>COUNTIFS(F4:F342,Z632,G4:G342,"&gt;=0")+COUNTIFS(I4:I342,Z632,H4:H342,"&gt;=0")</f>
        <v>24</v>
      </c>
      <c r="AB632" s="19">
        <f>COUNTIFS(F4:F342,Z632,B4:B342,3)+COUNTIFS(I4:I342,Z632,M4:M342,3)</f>
        <v>14</v>
      </c>
      <c r="AC632" s="19">
        <f>COUNTIFS(F4:F342,Z632,B4:B342,1)+COUNTIFS(I4:I342,Z632,M4:M342,1)</f>
        <v>6</v>
      </c>
      <c r="AD632" s="19">
        <f>COUNTIFS(F4:F342,Z632,B4:B342,0)+COUNTIFS(I4:I342,Z632,M4:M342,0)</f>
        <v>4</v>
      </c>
      <c r="AE632" s="19">
        <f>SUMIF(F4:F342,Z632,G4:G342)+SUMIF(I4:I342,Z632,H4:H342)</f>
        <v>66</v>
      </c>
      <c r="AF632" s="19">
        <f>SUMIF(F4:F342,Z632,H4:H342)+SUMIF(I4:I342,Z632,G4:G342)</f>
        <v>32</v>
      </c>
      <c r="AG632" s="19">
        <f t="shared" si="379"/>
        <v>34</v>
      </c>
      <c r="AH632" s="19">
        <f t="shared" si="380"/>
        <v>48</v>
      </c>
      <c r="AI632" s="19">
        <f t="shared" si="378"/>
        <v>48000.405999999995</v>
      </c>
      <c r="AJ632" s="2"/>
      <c r="AW632" s="7"/>
    </row>
    <row r="633" spans="1:49" x14ac:dyDescent="0.25">
      <c r="A633" s="1"/>
      <c r="B633" s="1"/>
      <c r="C633" s="1"/>
      <c r="D633" s="64"/>
      <c r="E633" s="1"/>
      <c r="G633" s="1"/>
      <c r="H633" s="1"/>
      <c r="K633" s="64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2" t="str">
        <f t="shared" si="377"/>
        <v>Eintracht Frankfurt</v>
      </c>
      <c r="W633" s="2">
        <f t="shared" si="375"/>
        <v>12</v>
      </c>
      <c r="Y633" s="19">
        <f>RANK(AI633,$AI$625:$AI$642,0)+COUNTIF($AI$624:AI632,AI633)</f>
        <v>12</v>
      </c>
      <c r="Z633" s="19" t="str">
        <f t="shared" si="376"/>
        <v>Eintracht Frankfurt</v>
      </c>
      <c r="AA633" s="19">
        <f>COUNTIFS(F4:F342,Z633,G4:G342,"&gt;=0")+COUNTIFS(I4:I342,Z633,H4:H342,"&gt;=0")</f>
        <v>23</v>
      </c>
      <c r="AB633" s="19">
        <f>COUNTIFS(F4:F342,Z633,B4:B342,3)+COUNTIFS(I4:I342,Z633,M4:M342,3)</f>
        <v>8</v>
      </c>
      <c r="AC633" s="19">
        <f>COUNTIFS(F4:F342,Z633,B4:B342,1)+COUNTIFS(I4:I342,Z633,M4:M342,1)</f>
        <v>4</v>
      </c>
      <c r="AD633" s="19">
        <f>COUNTIFS(F4:F342,Z633,B4:B342,0)+COUNTIFS(I4:I342,Z633,M4:M342,0)</f>
        <v>11</v>
      </c>
      <c r="AE633" s="19">
        <f>SUMIF(F4:F342,Z633,G4:G342)+SUMIF(I4:I342,Z633,H4:H342)</f>
        <v>38</v>
      </c>
      <c r="AF633" s="19">
        <f>SUMIF(F4:F342,Z633,H4:H342)+SUMIF(I4:I342,Z633,G4:G342)</f>
        <v>37</v>
      </c>
      <c r="AG633" s="19">
        <f t="shared" si="379"/>
        <v>1</v>
      </c>
      <c r="AH633" s="19">
        <f t="shared" si="380"/>
        <v>28</v>
      </c>
      <c r="AI633" s="19">
        <f t="shared" si="378"/>
        <v>28000.047999999999</v>
      </c>
      <c r="AJ633" s="2"/>
      <c r="AW633" s="7"/>
    </row>
    <row r="634" spans="1:49" x14ac:dyDescent="0.25">
      <c r="A634" s="1"/>
      <c r="B634" s="1"/>
      <c r="C634" s="1"/>
      <c r="D634" s="64"/>
      <c r="E634" s="1"/>
      <c r="G634" s="1"/>
      <c r="H634" s="1"/>
      <c r="K634" s="64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2" t="str">
        <f t="shared" si="377"/>
        <v>FC Augsburg</v>
      </c>
      <c r="W634" s="2">
        <f t="shared" si="375"/>
        <v>13</v>
      </c>
      <c r="Y634" s="19">
        <f>RANK(AI634,$AI$625:$AI$642,0)+COUNTIF($AI$624:AI633,AI634)</f>
        <v>13</v>
      </c>
      <c r="Z634" s="19" t="str">
        <f t="shared" si="376"/>
        <v>FC Augsburg</v>
      </c>
      <c r="AA634" s="19">
        <f>COUNTIFS(F4:F342,Z634,G4:G342,"&gt;=0")+COUNTIFS(I4:I342,Z634,H4:H342,"&gt;=0")</f>
        <v>24</v>
      </c>
      <c r="AB634" s="19">
        <f>COUNTIFS(F4:F342,Z634,B4:B342,3)+COUNTIFS(I4:I342,Z634,M4:M342,3)</f>
        <v>7</v>
      </c>
      <c r="AC634" s="19">
        <f>COUNTIFS(F4:F342,Z634,B4:B342,1)+COUNTIFS(I4:I342,Z634,M4:M342,1)</f>
        <v>6</v>
      </c>
      <c r="AD634" s="19">
        <f>COUNTIFS(F4:F342,Z634,B4:B342,0)+COUNTIFS(I4:I342,Z634,M4:M342,0)</f>
        <v>11</v>
      </c>
      <c r="AE634" s="19">
        <f>SUMIF(F4:F342,Z634,G4:G342)+SUMIF(I4:I342,Z634,H4:H342)</f>
        <v>36</v>
      </c>
      <c r="AF634" s="19">
        <f>SUMIF(F4:F342,Z634,H4:H342)+SUMIF(I4:I342,Z634,G4:G342)</f>
        <v>50</v>
      </c>
      <c r="AG634" s="19">
        <f t="shared" si="379"/>
        <v>-14</v>
      </c>
      <c r="AH634" s="19">
        <f t="shared" si="380"/>
        <v>27</v>
      </c>
      <c r="AI634" s="19">
        <f t="shared" si="378"/>
        <v>26999.896000000001</v>
      </c>
      <c r="AJ634" s="2"/>
      <c r="AW634" s="7"/>
    </row>
    <row r="635" spans="1:49" x14ac:dyDescent="0.25">
      <c r="A635" s="1"/>
      <c r="B635" s="1"/>
      <c r="C635" s="1"/>
      <c r="D635" s="64"/>
      <c r="E635" s="1"/>
      <c r="G635" s="1"/>
      <c r="H635" s="1"/>
      <c r="K635" s="64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2" t="str">
        <f t="shared" si="377"/>
        <v>FC Schalke 04</v>
      </c>
      <c r="W635" s="2">
        <f t="shared" si="375"/>
        <v>6</v>
      </c>
      <c r="Y635" s="19">
        <f>RANK(AI635,$AI$625:$AI$642,0)+COUNTIF($AI$624:AI634,AI635)</f>
        <v>6</v>
      </c>
      <c r="Z635" s="19" t="str">
        <f t="shared" si="376"/>
        <v>FC Schalke 04</v>
      </c>
      <c r="AA635" s="19">
        <f>COUNTIFS(F4:F342,Z635,G4:G342,"&gt;=0")+COUNTIFS(I4:I342,Z635,H4:H342,"&gt;=0")</f>
        <v>24</v>
      </c>
      <c r="AB635" s="19">
        <f>COUNTIFS(F4:F342,Z635,B4:B342,3)+COUNTIFS(I4:I342,Z635,M4:M342,3)</f>
        <v>9</v>
      </c>
      <c r="AC635" s="19">
        <f>COUNTIFS(F4:F342,Z635,B4:B342,1)+COUNTIFS(I4:I342,Z635,M4:M342,1)</f>
        <v>9</v>
      </c>
      <c r="AD635" s="19">
        <f>COUNTIFS(F4:F342,Z635,B4:B342,0)+COUNTIFS(I4:I342,Z635,M4:M342,0)</f>
        <v>6</v>
      </c>
      <c r="AE635" s="19">
        <f>SUMIF(F4:F342,Z635,G4:G342)+SUMIF(I4:I342,Z635,H4:H342)</f>
        <v>32</v>
      </c>
      <c r="AF635" s="19">
        <f>SUMIF(F4:F342,Z635,H4:H342)+SUMIF(I4:I342,Z635,G4:G342)</f>
        <v>35</v>
      </c>
      <c r="AG635" s="19">
        <f t="shared" si="379"/>
        <v>-3</v>
      </c>
      <c r="AH635" s="19">
        <f t="shared" si="380"/>
        <v>36</v>
      </c>
      <c r="AI635" s="19">
        <f t="shared" si="378"/>
        <v>36000.002</v>
      </c>
      <c r="AJ635" s="2"/>
      <c r="AW635" s="7"/>
    </row>
    <row r="636" spans="1:49" x14ac:dyDescent="0.25">
      <c r="A636" s="1"/>
      <c r="B636" s="1"/>
      <c r="C636" s="1"/>
      <c r="D636" s="64"/>
      <c r="E636" s="1"/>
      <c r="G636" s="1"/>
      <c r="H636" s="1"/>
      <c r="K636" s="64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2" t="str">
        <f t="shared" si="377"/>
        <v>Fortuna Düsseldorf</v>
      </c>
      <c r="W636" s="2">
        <f t="shared" si="375"/>
        <v>16</v>
      </c>
      <c r="Y636" s="19">
        <f>RANK(AI636,$AI$625:$AI$642,0)+COUNTIF($AI$624:AI635,AI636)</f>
        <v>16</v>
      </c>
      <c r="Z636" s="19" t="str">
        <f t="shared" si="376"/>
        <v>Fortuna Düsseldorf</v>
      </c>
      <c r="AA636" s="19">
        <f>COUNTIFS(F4:F342,Z636,G4:G342,"&gt;=0")+COUNTIFS(I4:I342,Z636,H4:H342,"&gt;=0")</f>
        <v>24</v>
      </c>
      <c r="AB636" s="19">
        <f>COUNTIFS(F4:F342,Z636,B4:B342,3)+COUNTIFS(I4:I342,Z636,M4:M342,3)</f>
        <v>5</v>
      </c>
      <c r="AC636" s="19">
        <f>COUNTIFS(F4:F342,Z636,B4:B342,1)+COUNTIFS(I4:I342,Z636,M4:M342,1)</f>
        <v>6</v>
      </c>
      <c r="AD636" s="19">
        <f>COUNTIFS(F4:F342,Z636,B4:B342,0)+COUNTIFS(I4:I342,Z636,M4:M342,0)</f>
        <v>13</v>
      </c>
      <c r="AE636" s="19">
        <f>SUMIF(F4:F342,Z636,G4:G342)+SUMIF(I4:I342,Z636,H4:H342)</f>
        <v>26</v>
      </c>
      <c r="AF636" s="19">
        <f>SUMIF(F4:F342,Z636,H4:H342)+SUMIF(I4:I342,Z636,G4:G342)</f>
        <v>49</v>
      </c>
      <c r="AG636" s="19">
        <f t="shared" si="379"/>
        <v>-23</v>
      </c>
      <c r="AH636" s="19">
        <f t="shared" si="380"/>
        <v>21</v>
      </c>
      <c r="AI636" s="19">
        <f t="shared" si="378"/>
        <v>20999.796000000002</v>
      </c>
      <c r="AJ636" s="2"/>
      <c r="AW636" s="7"/>
    </row>
    <row r="637" spans="1:49" x14ac:dyDescent="0.25">
      <c r="A637" s="1"/>
      <c r="B637" s="1"/>
      <c r="C637" s="1"/>
      <c r="D637" s="64"/>
      <c r="E637" s="1"/>
      <c r="G637" s="1"/>
      <c r="H637" s="1"/>
      <c r="K637" s="64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2" t="str">
        <f t="shared" si="377"/>
        <v>Hertha BSC</v>
      </c>
      <c r="W637" s="2">
        <f t="shared" si="375"/>
        <v>14</v>
      </c>
      <c r="Y637" s="19">
        <f>RANK(AI637,$AI$625:$AI$642,0)+COUNTIF($AI$624:AI636,AI637)</f>
        <v>14</v>
      </c>
      <c r="Z637" s="19" t="str">
        <f t="shared" si="376"/>
        <v>Hertha BSC</v>
      </c>
      <c r="AA637" s="19">
        <f>COUNTIFS(F4:F342,Z637,G4:G342,"&gt;=0")+COUNTIFS(I4:I342,Z637,H4:H342,"&gt;=0")</f>
        <v>24</v>
      </c>
      <c r="AB637" s="19">
        <f>COUNTIFS(F4:F342,Z637,B4:B342,3)+COUNTIFS(I4:I342,Z637,M4:M342,3)</f>
        <v>7</v>
      </c>
      <c r="AC637" s="19">
        <f>COUNTIFS(F4:F342,Z637,B4:B342,1)+COUNTIFS(I4:I342,Z637,M4:M342,1)</f>
        <v>6</v>
      </c>
      <c r="AD637" s="19">
        <f>COUNTIFS(F4:F342,Z637,B4:B342,0)+COUNTIFS(I4:I342,Z637,M4:M342,0)</f>
        <v>11</v>
      </c>
      <c r="AE637" s="19">
        <f>SUMIF(F4:F342,Z637,G4:G342)+SUMIF(I4:I342,Z637,H4:H342)</f>
        <v>30</v>
      </c>
      <c r="AF637" s="19">
        <f>SUMIF(F4:F342,Z637,H4:H342)+SUMIF(I4:I342,Z637,G4:G342)</f>
        <v>46</v>
      </c>
      <c r="AG637" s="19">
        <f t="shared" si="379"/>
        <v>-16</v>
      </c>
      <c r="AH637" s="19">
        <f t="shared" si="380"/>
        <v>27</v>
      </c>
      <c r="AI637" s="19">
        <f t="shared" si="378"/>
        <v>26999.87</v>
      </c>
      <c r="AJ637" s="2"/>
      <c r="AW637" s="7"/>
    </row>
    <row r="638" spans="1:49" x14ac:dyDescent="0.25">
      <c r="A638" s="1"/>
      <c r="B638" s="1"/>
      <c r="C638" s="1"/>
      <c r="D638" s="64"/>
      <c r="E638" s="1"/>
      <c r="G638" s="1"/>
      <c r="H638" s="1"/>
      <c r="K638" s="64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2" t="str">
        <f t="shared" si="377"/>
        <v>RB Leipzig</v>
      </c>
      <c r="W638" s="2">
        <f t="shared" si="375"/>
        <v>2</v>
      </c>
      <c r="Y638" s="19">
        <f>RANK(AI638,$AI$625:$AI$642,0)+COUNTIF($AI$624:AI637,AI638)</f>
        <v>2</v>
      </c>
      <c r="Z638" s="19" t="str">
        <f t="shared" si="376"/>
        <v>RB Leipzig</v>
      </c>
      <c r="AA638" s="19">
        <f>COUNTIFS(F4:F342,Z638,G4:G342,"&gt;=0")+COUNTIFS(I4:I342,Z638,H4:H342,"&gt;=0")</f>
        <v>24</v>
      </c>
      <c r="AB638" s="19">
        <f>COUNTIFS(F4:F342,Z638,B4:B342,3)+COUNTIFS(I4:I342,Z638,M4:M342,3)</f>
        <v>14</v>
      </c>
      <c r="AC638" s="19">
        <f>COUNTIFS(F4:F342,Z638,B4:B342,1)+COUNTIFS(I4:I342,Z638,M4:M342,1)</f>
        <v>7</v>
      </c>
      <c r="AD638" s="19">
        <f>COUNTIFS(F4:F342,Z638,B4:B342,0)+COUNTIFS(I4:I342,Z638,M4:M342,0)</f>
        <v>3</v>
      </c>
      <c r="AE638" s="19">
        <f>SUMIF(F4:F342,Z638,G4:G342)+SUMIF(I4:I342,Z638,H4:H342)</f>
        <v>62</v>
      </c>
      <c r="AF638" s="19">
        <f>SUMIF(F4:F342,Z638,H4:H342)+SUMIF(I4:I342,Z638,G4:G342)</f>
        <v>26</v>
      </c>
      <c r="AG638" s="19">
        <f t="shared" si="379"/>
        <v>36</v>
      </c>
      <c r="AH638" s="19">
        <f t="shared" si="380"/>
        <v>49</v>
      </c>
      <c r="AI638" s="19">
        <f t="shared" si="378"/>
        <v>49000.421999999999</v>
      </c>
      <c r="AJ638" s="2"/>
      <c r="AW638" s="7"/>
    </row>
    <row r="639" spans="1:49" x14ac:dyDescent="0.25">
      <c r="A639" s="1"/>
      <c r="B639" s="1"/>
      <c r="C639" s="1"/>
      <c r="D639" s="64"/>
      <c r="E639" s="1"/>
      <c r="G639" s="1"/>
      <c r="H639" s="1"/>
      <c r="K639" s="64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2" t="str">
        <f t="shared" si="377"/>
        <v>SC Freiburg</v>
      </c>
      <c r="W639" s="2">
        <f t="shared" si="375"/>
        <v>9</v>
      </c>
      <c r="Y639" s="19">
        <f>RANK(AI639,$AI$625:$AI$642,0)+COUNTIF($AI$624:AI638,AI639)</f>
        <v>9</v>
      </c>
      <c r="Z639" s="19" t="str">
        <f t="shared" si="376"/>
        <v>SC Freiburg</v>
      </c>
      <c r="AA639" s="19">
        <f>COUNTIFS(F4:F342,Z639,G4:G342,"&gt;=0")+COUNTIFS(I4:I342,Z639,H4:H342,"&gt;=0")</f>
        <v>24</v>
      </c>
      <c r="AB639" s="19">
        <f>COUNTIFS(F4:F342,Z639,B4:B342,3)+COUNTIFS(I4:I342,Z639,M4:M342,3)</f>
        <v>9</v>
      </c>
      <c r="AC639" s="19">
        <f>COUNTIFS(F4:F342,Z639,B4:B342,1)+COUNTIFS(I4:I342,Z639,M4:M342,1)</f>
        <v>6</v>
      </c>
      <c r="AD639" s="19">
        <f>COUNTIFS(F4:F342,Z639,B4:B342,0)+COUNTIFS(I4:I342,Z639,M4:M342,0)</f>
        <v>9</v>
      </c>
      <c r="AE639" s="19">
        <f>SUMIF(F4:F342,Z639,G4:G342)+SUMIF(I4:I342,Z639,H4:H342)</f>
        <v>31</v>
      </c>
      <c r="AF639" s="19">
        <f>SUMIF(F4:F342,Z639,H4:H342)+SUMIF(I4:I342,Z639,G4:G342)</f>
        <v>34</v>
      </c>
      <c r="AG639" s="19">
        <f t="shared" si="379"/>
        <v>-3</v>
      </c>
      <c r="AH639" s="19">
        <f t="shared" si="380"/>
        <v>33</v>
      </c>
      <c r="AI639" s="19">
        <f t="shared" si="378"/>
        <v>33000.001000000004</v>
      </c>
      <c r="AJ639" s="2"/>
      <c r="AW639" s="7"/>
    </row>
    <row r="640" spans="1:49" x14ac:dyDescent="0.25">
      <c r="A640" s="1"/>
      <c r="B640" s="1"/>
      <c r="C640" s="1"/>
      <c r="D640" s="64"/>
      <c r="E640" s="1"/>
      <c r="G640" s="1"/>
      <c r="H640" s="1"/>
      <c r="K640" s="64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2" t="str">
        <f t="shared" si="377"/>
        <v>SC Paderborn 07</v>
      </c>
      <c r="W640" s="2">
        <f t="shared" si="375"/>
        <v>18</v>
      </c>
      <c r="Y640" s="19">
        <f>RANK(AI640,$AI$625:$AI$642,0)+COUNTIF($AI$624:AI639,AI640)</f>
        <v>18</v>
      </c>
      <c r="Z640" s="19" t="str">
        <f t="shared" si="376"/>
        <v>SC Paderborn 07</v>
      </c>
      <c r="AA640" s="19">
        <f>COUNTIFS(F4:F342,Z640,G4:G342,"&gt;=0")+COUNTIFS(I4:I342,Z640,H4:H342,"&gt;=0")</f>
        <v>24</v>
      </c>
      <c r="AB640" s="19">
        <f>COUNTIFS(F4:F342,Z640,B4:B342,3)+COUNTIFS(I4:I342,Z640,M4:M342,3)</f>
        <v>4</v>
      </c>
      <c r="AC640" s="19">
        <f>COUNTIFS(F4:F342,Z640,B4:B342,1)+COUNTIFS(I4:I342,Z640,M4:M342,1)</f>
        <v>4</v>
      </c>
      <c r="AD640" s="19">
        <f>COUNTIFS(F4:F342,Z640,B4:B342,0)+COUNTIFS(I4:I342,Z640,M4:M342,0)</f>
        <v>16</v>
      </c>
      <c r="AE640" s="19">
        <f>SUMIF(F4:F342,Z640,G4:G342)+SUMIF(I4:I342,Z640,H4:H342)</f>
        <v>29</v>
      </c>
      <c r="AF640" s="19">
        <f>SUMIF(F4:F342,Z640,H4:H342)+SUMIF(I4:I342,Z640,G4:G342)</f>
        <v>52</v>
      </c>
      <c r="AG640" s="19">
        <f t="shared" si="379"/>
        <v>-23</v>
      </c>
      <c r="AH640" s="19">
        <f t="shared" si="380"/>
        <v>16</v>
      </c>
      <c r="AI640" s="19">
        <f t="shared" si="378"/>
        <v>15999.799000000001</v>
      </c>
      <c r="AJ640" s="2"/>
      <c r="AW640" s="7"/>
    </row>
    <row r="641" spans="1:49" x14ac:dyDescent="0.25">
      <c r="A641" s="1"/>
      <c r="B641" s="1"/>
      <c r="C641" s="1"/>
      <c r="D641" s="64"/>
      <c r="E641" s="1"/>
      <c r="G641" s="1"/>
      <c r="H641" s="1"/>
      <c r="K641" s="64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2" t="str">
        <f t="shared" si="377"/>
        <v>VfL Wolfsburg</v>
      </c>
      <c r="W641" s="2">
        <f t="shared" si="375"/>
        <v>7</v>
      </c>
      <c r="Y641" s="19">
        <f>RANK(AI641,$AI$625:$AI$642,0)+COUNTIF($AI$624:AI640,AI641)</f>
        <v>7</v>
      </c>
      <c r="Z641" s="19" t="str">
        <f t="shared" si="376"/>
        <v>VfL Wolfsburg</v>
      </c>
      <c r="AA641" s="19">
        <f>COUNTIFS(F4:F342,Z625,G4:G342,"&gt;=0")+COUNTIFS(I4:I342,Z625,H4:H342,"&gt;=0")</f>
        <v>23</v>
      </c>
      <c r="AB641" s="19">
        <f>COUNTIFS(F4:F342,Z641,B4:B342,3)+COUNTIFS(I4:I342,Z641,M4:M342,3)</f>
        <v>9</v>
      </c>
      <c r="AC641" s="19">
        <f>COUNTIFS(F4:F342,Z641,B4:B342,1)+COUNTIFS(I4:I342,Z641,M4:M342,1)</f>
        <v>8</v>
      </c>
      <c r="AD641" s="19">
        <f>COUNTIFS(F4:F342,Z641,B4:B342,0)+COUNTIFS(I4:I342,Z641,M4:M342,0)</f>
        <v>7</v>
      </c>
      <c r="AE641" s="19">
        <f>SUMIF(F4:F342,Z641,G4:G342)+SUMIF(I4:I342,Z641,H4:H342)</f>
        <v>34</v>
      </c>
      <c r="AF641" s="19">
        <f>SUMIF(F4:F342,Z641,H4:H342)+SUMIF(I4:I342,Z641,G4:G342)</f>
        <v>30</v>
      </c>
      <c r="AG641" s="19">
        <f t="shared" si="379"/>
        <v>4</v>
      </c>
      <c r="AH641" s="19">
        <f t="shared" si="380"/>
        <v>35</v>
      </c>
      <c r="AI641" s="19">
        <f t="shared" si="378"/>
        <v>35000.074000000001</v>
      </c>
      <c r="AJ641" s="2"/>
      <c r="AW641" s="7"/>
    </row>
    <row r="642" spans="1:49" x14ac:dyDescent="0.25">
      <c r="A642" s="1"/>
      <c r="B642" s="1"/>
      <c r="C642" s="1"/>
      <c r="D642" s="64"/>
      <c r="E642" s="1"/>
      <c r="G642" s="1"/>
      <c r="H642" s="1"/>
      <c r="K642" s="64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2" t="str">
        <f t="shared" si="377"/>
        <v>Werder Bremen</v>
      </c>
      <c r="W642" s="2">
        <f t="shared" si="375"/>
        <v>17</v>
      </c>
      <c r="Y642" s="19">
        <f>RANK(AI642,$AI$625:$AI$642,0)+COUNTIF($AI$624:AI641,AI642)</f>
        <v>17</v>
      </c>
      <c r="Z642" s="19" t="str">
        <f t="shared" si="376"/>
        <v>Werder Bremen</v>
      </c>
      <c r="AA642" s="19">
        <f>COUNTIFS(F4:F342,Z642,G4:G342,"&gt;=0")+COUNTIFS(I4:I342,Z642,H4:H342,"&gt;=0")</f>
        <v>23</v>
      </c>
      <c r="AB642" s="19">
        <f>COUNTIFS(F4:F342,Z642,B4:B342,3)+COUNTIFS(I4:I342,Z642,M4:M342,3)</f>
        <v>4</v>
      </c>
      <c r="AC642" s="19">
        <f>COUNTIFS(F4:F342,Z642,B4:B342,1)+COUNTIFS(I4:I342,Z642,M4:M342,1)</f>
        <v>5</v>
      </c>
      <c r="AD642" s="19">
        <f>COUNTIFS(F4:F342,Z642,B4:B342,0)+COUNTIFS(I4:I342,Z642,M4:M342,0)</f>
        <v>14</v>
      </c>
      <c r="AE642" s="19">
        <f>SUMIF(F4:F342,Z642,G4:G342)+SUMIF(I4:I342,Z642,H4:H342)</f>
        <v>25</v>
      </c>
      <c r="AF642" s="19">
        <f>SUMIF(F4:F342,Z642,H4:H342)+SUMIF(I4:I342,Z642,G4:G342)</f>
        <v>53</v>
      </c>
      <c r="AG642" s="19">
        <f t="shared" si="379"/>
        <v>-28</v>
      </c>
      <c r="AH642" s="19">
        <f t="shared" si="380"/>
        <v>17</v>
      </c>
      <c r="AI642" s="19">
        <f t="shared" si="378"/>
        <v>16999.745000000003</v>
      </c>
      <c r="AW642" s="7"/>
    </row>
    <row r="643" spans="1:49" x14ac:dyDescent="0.25">
      <c r="A643" s="1"/>
      <c r="B643" s="1"/>
      <c r="C643" s="1"/>
      <c r="D643" s="64"/>
      <c r="E643" s="1"/>
      <c r="G643" s="1"/>
      <c r="H643" s="1"/>
      <c r="K643" s="64"/>
      <c r="L643" s="1"/>
      <c r="M643" s="1"/>
      <c r="N643" s="1"/>
      <c r="O643" s="1"/>
      <c r="P643" s="1"/>
      <c r="Q643" s="1"/>
      <c r="R643" s="1"/>
      <c r="S643" s="1"/>
      <c r="T643" s="1"/>
      <c r="U643" s="1"/>
      <c r="AJ643" s="2"/>
      <c r="AW643" s="7"/>
    </row>
    <row r="644" spans="1:49" x14ac:dyDescent="0.25">
      <c r="A644" s="1"/>
      <c r="B644" s="1"/>
      <c r="C644" s="1"/>
      <c r="D644" s="64"/>
      <c r="E644" s="1"/>
      <c r="G644" s="1"/>
      <c r="H644" s="1"/>
      <c r="K644" s="64"/>
      <c r="L644" s="1"/>
      <c r="M644" s="1"/>
      <c r="N644" s="1"/>
      <c r="O644" s="1"/>
      <c r="P644" s="1"/>
      <c r="Q644" s="1"/>
      <c r="R644" s="1"/>
      <c r="S644" s="1"/>
      <c r="T644" s="1"/>
      <c r="U644" s="1"/>
      <c r="W644" s="18">
        <v>32</v>
      </c>
      <c r="Y644" s="19"/>
      <c r="Z644" s="19" t="s">
        <v>1</v>
      </c>
      <c r="AA644" s="19" t="s">
        <v>2</v>
      </c>
      <c r="AB644" s="19" t="s">
        <v>3</v>
      </c>
      <c r="AC644" s="19" t="s">
        <v>4</v>
      </c>
      <c r="AD644" s="19" t="s">
        <v>5</v>
      </c>
      <c r="AE644" s="19" t="s">
        <v>6</v>
      </c>
      <c r="AF644" s="19" t="s">
        <v>7</v>
      </c>
      <c r="AG644" s="19" t="s">
        <v>8</v>
      </c>
      <c r="AH644" s="19" t="s">
        <v>9</v>
      </c>
      <c r="AI644" s="19" t="s">
        <v>0</v>
      </c>
      <c r="AJ644" s="2"/>
      <c r="AW644" s="7"/>
    </row>
    <row r="645" spans="1:49" x14ac:dyDescent="0.25">
      <c r="A645" s="1"/>
      <c r="B645" s="1"/>
      <c r="C645" s="1"/>
      <c r="D645" s="64"/>
      <c r="E645" s="1"/>
      <c r="G645" s="1"/>
      <c r="H645" s="1"/>
      <c r="K645" s="64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2" t="str">
        <f>CONCATENATE(Z645)</f>
        <v>1. FC Köln</v>
      </c>
      <c r="W645" s="2">
        <f t="shared" ref="W645:W662" si="381">Y645</f>
        <v>11</v>
      </c>
      <c r="Y645" s="19">
        <f>RANK(AI645,$AI$645:$AI$662,0)+COUNTIF($AI$644:AI644,AI645)</f>
        <v>11</v>
      </c>
      <c r="Z645" s="19" t="str">
        <f t="shared" ref="Z645:Z662" si="382">CONCATENATE(Z5)</f>
        <v>1. FC Köln</v>
      </c>
      <c r="AA645" s="19">
        <f>COUNTIFS(F4:F353,Z645,G4:G353,"&gt;=0")+COUNTIFS(I4:I353,Z645,H4:H353,"&gt;=0")</f>
        <v>23</v>
      </c>
      <c r="AB645" s="19">
        <f>COUNTIFS(F4:F353,Z645,B4:B353,3)+COUNTIFS(I4:I353,Z645,M4:M353,3)</f>
        <v>9</v>
      </c>
      <c r="AC645" s="19">
        <f>COUNTIFS(F4:F353,Z645,B4:B353,1)+COUNTIFS(I4:I353,Z645,M4:M353,1)</f>
        <v>2</v>
      </c>
      <c r="AD645" s="19">
        <f>COUNTIFS(F4:F353,Z645,B4:B353,0)+COUNTIFS(I4:I353,Z645,M4:M353,0)</f>
        <v>12</v>
      </c>
      <c r="AE645" s="19">
        <f>SUMIF(F4:F353,Z645,G4:G353)+SUMIF(I4:I353,Z645,H4:H353)</f>
        <v>36</v>
      </c>
      <c r="AF645" s="19">
        <f>SUMIF(F4:F353,Z645,H4:H353)+SUMIF(I4:I353,Z645,G4:G353)</f>
        <v>42</v>
      </c>
      <c r="AG645" s="19">
        <f>+AE645-AF645</f>
        <v>-6</v>
      </c>
      <c r="AH645" s="19">
        <f>(AB645*3)+AC645</f>
        <v>29</v>
      </c>
      <c r="AI645" s="19">
        <f>SUM(AH645*1000+(AG645)/100+(AE645)/1000)</f>
        <v>28999.975999999999</v>
      </c>
      <c r="AJ645" s="2"/>
      <c r="AW645" s="7"/>
    </row>
    <row r="646" spans="1:49" x14ac:dyDescent="0.25">
      <c r="A646" s="1"/>
      <c r="B646" s="1"/>
      <c r="C646" s="1"/>
      <c r="D646" s="64"/>
      <c r="E646" s="1"/>
      <c r="G646" s="1"/>
      <c r="H646" s="1"/>
      <c r="K646" s="64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2" t="str">
        <f t="shared" ref="V646:V662" si="383">CONCATENATE(Z646)</f>
        <v>1. FC Union Berlin</v>
      </c>
      <c r="W646" s="2">
        <f t="shared" si="381"/>
        <v>10</v>
      </c>
      <c r="Y646" s="19">
        <f>RANK(AI646,$AI$645:$AI$662,0)+COUNTIF($AI$644:AI645,AI646)</f>
        <v>10</v>
      </c>
      <c r="Z646" s="19" t="str">
        <f t="shared" si="382"/>
        <v>1. FC Union Berlin</v>
      </c>
      <c r="AA646" s="19">
        <f>COUNTIFS(F4:F353,Z646,G4:G353,"&gt;=0")+COUNTIFS(I4:I353,Z646,H4:H353,"&gt;=0")</f>
        <v>24</v>
      </c>
      <c r="AB646" s="19">
        <f>COUNTIFS(F4:F353,Z646,B4:B353,3)+COUNTIFS(I4:I353,Z646,M4:M353,3)</f>
        <v>9</v>
      </c>
      <c r="AC646" s="19">
        <f>COUNTIFS(F4:F353,Z646,B4:B353,1)+COUNTIFS(I4:I353,Z646,M4:M353,1)</f>
        <v>3</v>
      </c>
      <c r="AD646" s="19">
        <f>COUNTIFS(F4:F353,Z646,B4:B353,0)+COUNTIFS(I4:I353,Z646,M4:M353,0)</f>
        <v>12</v>
      </c>
      <c r="AE646" s="19">
        <f>SUMIF(F4:F353,Z646,G4:G353)+SUMIF(I4:I353,Z646,H4:H353)</f>
        <v>31</v>
      </c>
      <c r="AF646" s="19">
        <f>SUMIF(F4:F353,Z646,H4:H353)+SUMIF(I4:I353,Z646,G4:G353)</f>
        <v>38</v>
      </c>
      <c r="AG646" s="19">
        <f>+AE646-AF646</f>
        <v>-7</v>
      </c>
      <c r="AH646" s="19">
        <f>(AB646*3)+AC646</f>
        <v>30</v>
      </c>
      <c r="AI646" s="19">
        <f t="shared" ref="AI646:AI662" si="384">SUM(AH646*1000+(AG646)/100+(AE646)/1000)</f>
        <v>29999.960999999999</v>
      </c>
      <c r="AJ646" s="2"/>
      <c r="AW646" s="7"/>
    </row>
    <row r="647" spans="1:49" x14ac:dyDescent="0.25">
      <c r="A647" s="1"/>
      <c r="B647" s="1"/>
      <c r="C647" s="1"/>
      <c r="D647" s="64"/>
      <c r="E647" s="1"/>
      <c r="G647" s="1"/>
      <c r="H647" s="1"/>
      <c r="K647" s="64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2" t="str">
        <f t="shared" si="383"/>
        <v>1. FSV Mainz 05</v>
      </c>
      <c r="W647" s="2">
        <f t="shared" si="381"/>
        <v>15</v>
      </c>
      <c r="Y647" s="19">
        <f>RANK(AI647,$AI$645:$AI$662,0)+COUNTIF($AI$644:AI646,AI647)</f>
        <v>15</v>
      </c>
      <c r="Z647" s="19" t="str">
        <f t="shared" si="382"/>
        <v>1. FSV Mainz 05</v>
      </c>
      <c r="AA647" s="19">
        <f>COUNTIFS(F4:F353,Z647,G4:G353,"&gt;=0")+COUNTIFS(I4:I353,Z647,H4:H353,"&gt;=0")</f>
        <v>24</v>
      </c>
      <c r="AB647" s="19">
        <f>COUNTIFS(F4:F353,Z647,B4:B353,3)+COUNTIFS(I4:I353,Z647,M4:M353,3)</f>
        <v>8</v>
      </c>
      <c r="AC647" s="19">
        <f>COUNTIFS(F4:F353,Z647,B4:B353,1)+COUNTIFS(I4:I353,Z647,M4:M353,1)</f>
        <v>1</v>
      </c>
      <c r="AD647" s="19">
        <f>COUNTIFS(F4:F353,Z647,B4:B353,0)+COUNTIFS(I4:I353,Z647,M4:M353,0)</f>
        <v>15</v>
      </c>
      <c r="AE647" s="19">
        <f>SUMIF(F4:F353,Z647,G4:G353)+SUMIF(I4:I353,Z647,H4:H353)</f>
        <v>33</v>
      </c>
      <c r="AF647" s="19">
        <f>SUMIF(F4:F353,Z647,H4:H353)+SUMIF(I4:I353,Z647,G4:G353)</f>
        <v>52</v>
      </c>
      <c r="AG647" s="19">
        <f>+AE647-AF647</f>
        <v>-19</v>
      </c>
      <c r="AH647" s="19">
        <f>(AB647*3)+AC647</f>
        <v>25</v>
      </c>
      <c r="AI647" s="19">
        <f t="shared" si="384"/>
        <v>24999.843000000001</v>
      </c>
      <c r="AJ647" s="2"/>
      <c r="AW647" s="7"/>
    </row>
    <row r="648" spans="1:49" x14ac:dyDescent="0.25">
      <c r="A648" s="1"/>
      <c r="B648" s="1"/>
      <c r="C648" s="1"/>
      <c r="D648" s="64"/>
      <c r="E648" s="1"/>
      <c r="G648" s="1"/>
      <c r="H648" s="1"/>
      <c r="K648" s="64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2" t="str">
        <f t="shared" si="383"/>
        <v>1899 Hoffenheim</v>
      </c>
      <c r="W648" s="2">
        <f t="shared" si="381"/>
        <v>8</v>
      </c>
      <c r="Y648" s="19">
        <f>RANK(AI648,$AI$645:$AI$662,0)+COUNTIF($AI$644:AI647,AI648)</f>
        <v>8</v>
      </c>
      <c r="Z648" s="19" t="str">
        <f t="shared" si="382"/>
        <v>1899 Hoffenheim</v>
      </c>
      <c r="AA648" s="19">
        <f>COUNTIFS(F4:F353,Z648,G4:G353,"&gt;=0")+COUNTIFS(I4:I353,Z648,H4:H353,"&gt;=0")</f>
        <v>24</v>
      </c>
      <c r="AB648" s="19">
        <f>COUNTIFS(F4:F353,Z648,B4:B353,3)+COUNTIFS(I4:I353,Z648,M4:M353,3)</f>
        <v>10</v>
      </c>
      <c r="AC648" s="19">
        <f>COUNTIFS(F4:F353,Z648,B4:B353,1)+COUNTIFS(I4:I353,Z648,M4:M353,1)</f>
        <v>4</v>
      </c>
      <c r="AD648" s="19">
        <f>COUNTIFS(F4:F353,Z648,B4:B353,0)+COUNTIFS(I4:I353,Z648,M4:M353,0)</f>
        <v>10</v>
      </c>
      <c r="AE648" s="19">
        <f>SUMIF(F4:F353,Z648,G4:G353)+SUMIF(I4:I353,Z648,H4:H353)</f>
        <v>34</v>
      </c>
      <c r="AF648" s="19">
        <f>SUMIF(F4:F353,Z648,H4:H353)+SUMIF(I4:I353,Z648,G4:G353)</f>
        <v>42</v>
      </c>
      <c r="AG648" s="19">
        <f t="shared" ref="AG648:AG662" si="385">+AE648-AF648</f>
        <v>-8</v>
      </c>
      <c r="AH648" s="19">
        <f>(AB648*3)+AC648</f>
        <v>34</v>
      </c>
      <c r="AI648" s="19">
        <f t="shared" si="384"/>
        <v>33999.953999999998</v>
      </c>
      <c r="AJ648" s="2"/>
      <c r="AW648" s="7"/>
    </row>
    <row r="649" spans="1:49" x14ac:dyDescent="0.25">
      <c r="A649" s="1"/>
      <c r="B649" s="1"/>
      <c r="C649" s="1"/>
      <c r="D649" s="64"/>
      <c r="E649" s="1"/>
      <c r="G649" s="1"/>
      <c r="H649" s="1"/>
      <c r="K649" s="64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2" t="str">
        <f t="shared" si="383"/>
        <v>Bayer Leverkusen</v>
      </c>
      <c r="W649" s="2">
        <f t="shared" si="381"/>
        <v>5</v>
      </c>
      <c r="Y649" s="19">
        <f>RANK(AI649,$AI$645:$AI$662,0)+COUNTIF($AI$644:AI648,AI649)</f>
        <v>5</v>
      </c>
      <c r="Z649" s="19" t="str">
        <f t="shared" si="382"/>
        <v>Bayer Leverkusen</v>
      </c>
      <c r="AA649" s="19">
        <f>COUNTIFS(F4:F353,Z649,G4:G353,"&gt;=0")+COUNTIFS(I4:I353,Z649,H4:H353,"&gt;=0")</f>
        <v>24</v>
      </c>
      <c r="AB649" s="19">
        <f>COUNTIFS(F4:F353,Z649,B4:B353,3)+COUNTIFS(I4:I353,Z649,M4:M353,3)</f>
        <v>13</v>
      </c>
      <c r="AC649" s="19">
        <f>COUNTIFS(F4:F353,Z649,B4:B353,1)+COUNTIFS(I4:I353,Z649,M4:M353,1)</f>
        <v>5</v>
      </c>
      <c r="AD649" s="19">
        <f>COUNTIFS(F4:F353,Z649,B4:B353,0)+COUNTIFS(I4:I353,Z649,M4:M353,0)</f>
        <v>6</v>
      </c>
      <c r="AE649" s="19">
        <f>SUMIF(F4:F353,Z649,G4:G353)+SUMIF(I4:I353,Z649,H4:H353)</f>
        <v>41</v>
      </c>
      <c r="AF649" s="19">
        <f>SUMIF(F4:F353,Z649,H4:H353)+SUMIF(I4:I353,Z649,G4:G353)</f>
        <v>30</v>
      </c>
      <c r="AG649" s="19">
        <f t="shared" si="385"/>
        <v>11</v>
      </c>
      <c r="AH649" s="19">
        <f>(AB649*3)+AC649</f>
        <v>44</v>
      </c>
      <c r="AI649" s="19">
        <f t="shared" si="384"/>
        <v>44000.150999999998</v>
      </c>
      <c r="AJ649" s="2"/>
      <c r="AW649" s="7"/>
    </row>
    <row r="650" spans="1:49" x14ac:dyDescent="0.25">
      <c r="A650" s="1"/>
      <c r="B650" s="1"/>
      <c r="C650" s="1"/>
      <c r="D650" s="64"/>
      <c r="E650" s="1"/>
      <c r="G650" s="1"/>
      <c r="H650" s="1"/>
      <c r="K650" s="64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2" t="str">
        <f t="shared" si="383"/>
        <v>Bayern München</v>
      </c>
      <c r="W650" s="2">
        <f t="shared" si="381"/>
        <v>1</v>
      </c>
      <c r="Y650" s="19">
        <f>RANK(AI650,$AI$645:$AI$662,0)+COUNTIF($AI$644:AI649,AI650)</f>
        <v>1</v>
      </c>
      <c r="Z650" s="19" t="str">
        <f t="shared" si="382"/>
        <v>Bayern München</v>
      </c>
      <c r="AA650" s="19">
        <f>COUNTIFS(F4:F353,Z650,G4:G353,"&gt;=0")+COUNTIFS(I4:I353,Z650,H4:H353,"&gt;=0")</f>
        <v>24</v>
      </c>
      <c r="AB650" s="19">
        <f>COUNTIFS(F4:F353,Z650,B4:B353,3)+COUNTIFS(I4:I353,Z650,M4:M353,3)</f>
        <v>16</v>
      </c>
      <c r="AC650" s="19">
        <f>COUNTIFS(F4:F353,Z650,B4:B353,1)+COUNTIFS(I4:I353,Z650,M4:M353,1)</f>
        <v>4</v>
      </c>
      <c r="AD650" s="19">
        <f>COUNTIFS(F4:F353,Z650,B4:B353,0)+COUNTIFS(I4:I353,Z650,M4:M353,0)</f>
        <v>4</v>
      </c>
      <c r="AE650" s="19">
        <f>SUMIF(F4:F353,Z650,G4:G353)+SUMIF(I4:I353,Z650,H4:H353)</f>
        <v>71</v>
      </c>
      <c r="AF650" s="19">
        <f>SUMIF(F4:F353,Z650,H4:H353)+SUMIF(I4:I353,Z650,G4:G353)</f>
        <v>26</v>
      </c>
      <c r="AG650" s="19">
        <f t="shared" si="385"/>
        <v>45</v>
      </c>
      <c r="AH650" s="19">
        <f t="shared" ref="AH650:AH662" si="386">(AB650*3)+AC650</f>
        <v>52</v>
      </c>
      <c r="AI650" s="19">
        <f t="shared" si="384"/>
        <v>52000.521000000001</v>
      </c>
      <c r="AJ650" s="2"/>
      <c r="AW650" s="7"/>
    </row>
    <row r="651" spans="1:49" x14ac:dyDescent="0.25">
      <c r="A651" s="1"/>
      <c r="B651" s="1"/>
      <c r="C651" s="1"/>
      <c r="D651" s="64"/>
      <c r="E651" s="1"/>
      <c r="G651" s="1"/>
      <c r="H651" s="1"/>
      <c r="K651" s="64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2" t="str">
        <f t="shared" si="383"/>
        <v>Bor. Mönchengladbach</v>
      </c>
      <c r="W651" s="2">
        <f t="shared" si="381"/>
        <v>4</v>
      </c>
      <c r="Y651" s="19">
        <f>RANK(AI651,$AI$645:$AI$662,0)+COUNTIF($AI$644:AI650,AI651)</f>
        <v>4</v>
      </c>
      <c r="Z651" s="19" t="str">
        <f t="shared" si="382"/>
        <v>Bor. Mönchengladbach</v>
      </c>
      <c r="AA651" s="19">
        <f>COUNTIFS(F4:F353,Z651,G4:G353,"&gt;=0")+COUNTIFS(I4:I353,Z651,H4:H353,"&gt;=0")</f>
        <v>23</v>
      </c>
      <c r="AB651" s="19">
        <f>COUNTIFS(F4:F353,Z651,B4:B353,3)+COUNTIFS(I4:I353,Z651,M4:M353,3)</f>
        <v>14</v>
      </c>
      <c r="AC651" s="19">
        <f>COUNTIFS(F4:F353,Z651,B4:B353,1)+COUNTIFS(I4:I353,Z651,M4:M353,1)</f>
        <v>4</v>
      </c>
      <c r="AD651" s="19">
        <f>COUNTIFS(F4:F353,Z651,B4:B353,0)+COUNTIFS(I4:I353,Z651,M4:M353,0)</f>
        <v>5</v>
      </c>
      <c r="AE651" s="19">
        <f>SUMIF(F4:F353,Z651,G4:G353)+SUMIF(I4:I353,Z651,H4:H353)</f>
        <v>46</v>
      </c>
      <c r="AF651" s="19">
        <f>SUMIF(F4:F353,Z651,H4:H353)+SUMIF(I4:I353,Z651,G4:G353)</f>
        <v>27</v>
      </c>
      <c r="AG651" s="19">
        <f t="shared" si="385"/>
        <v>19</v>
      </c>
      <c r="AH651" s="19">
        <f t="shared" si="386"/>
        <v>46</v>
      </c>
      <c r="AI651" s="19">
        <f t="shared" si="384"/>
        <v>46000.236000000004</v>
      </c>
      <c r="AJ651" s="2"/>
      <c r="AW651" s="7"/>
    </row>
    <row r="652" spans="1:49" x14ac:dyDescent="0.25">
      <c r="A652" s="1"/>
      <c r="B652" s="1"/>
      <c r="C652" s="1"/>
      <c r="D652" s="64"/>
      <c r="E652" s="1"/>
      <c r="G652" s="1"/>
      <c r="H652" s="1"/>
      <c r="K652" s="64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2" t="str">
        <f t="shared" si="383"/>
        <v>Borussia Dortmund</v>
      </c>
      <c r="W652" s="2">
        <f t="shared" si="381"/>
        <v>3</v>
      </c>
      <c r="Y652" s="19">
        <f>RANK(AI652,$AI$645:$AI$662,0)+COUNTIF($AI$644:AI651,AI652)</f>
        <v>3</v>
      </c>
      <c r="Z652" s="19" t="str">
        <f t="shared" si="382"/>
        <v>Borussia Dortmund</v>
      </c>
      <c r="AA652" s="19">
        <f>COUNTIFS(F4:F353,Z652,G4:G353,"&gt;=0")+COUNTIFS(I4:I353,Z652,H4:H353,"&gt;=0")</f>
        <v>24</v>
      </c>
      <c r="AB652" s="19">
        <f>COUNTIFS(F4:F353,Z652,B4:B353,3)+COUNTIFS(I4:I353,Z652,M4:M353,3)</f>
        <v>14</v>
      </c>
      <c r="AC652" s="19">
        <f>COUNTIFS(F4:F353,Z652,B4:B353,1)+COUNTIFS(I4:I353,Z652,M4:M353,1)</f>
        <v>6</v>
      </c>
      <c r="AD652" s="19">
        <f>COUNTIFS(F4:F353,Z652,B4:B353,0)+COUNTIFS(I4:I353,Z652,M4:M353,0)</f>
        <v>4</v>
      </c>
      <c r="AE652" s="19">
        <f>SUMIF(F4:F353,Z652,G4:G353)+SUMIF(I4:I353,Z652,H4:H353)</f>
        <v>66</v>
      </c>
      <c r="AF652" s="19">
        <f>SUMIF(F4:F353,Z652,H4:H353)+SUMIF(I4:I353,Z652,G4:G353)</f>
        <v>32</v>
      </c>
      <c r="AG652" s="19">
        <f t="shared" si="385"/>
        <v>34</v>
      </c>
      <c r="AH652" s="19">
        <f t="shared" si="386"/>
        <v>48</v>
      </c>
      <c r="AI652" s="19">
        <f t="shared" si="384"/>
        <v>48000.405999999995</v>
      </c>
      <c r="AJ652" s="2"/>
      <c r="AW652" s="7"/>
    </row>
    <row r="653" spans="1:49" x14ac:dyDescent="0.25">
      <c r="A653" s="1"/>
      <c r="B653" s="1"/>
      <c r="C653" s="1"/>
      <c r="D653" s="64"/>
      <c r="E653" s="1"/>
      <c r="G653" s="1"/>
      <c r="H653" s="1"/>
      <c r="K653" s="64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2" t="str">
        <f t="shared" si="383"/>
        <v>Eintracht Frankfurt</v>
      </c>
      <c r="W653" s="2">
        <f t="shared" si="381"/>
        <v>12</v>
      </c>
      <c r="Y653" s="19">
        <f>RANK(AI653,$AI$645:$AI$662,0)+COUNTIF($AI$644:AI652,AI653)</f>
        <v>12</v>
      </c>
      <c r="Z653" s="19" t="str">
        <f t="shared" si="382"/>
        <v>Eintracht Frankfurt</v>
      </c>
      <c r="AA653" s="19">
        <f>COUNTIFS(F4:F353,Z653,G4:G353,"&gt;=0")+COUNTIFS(I4:I353,Z653,H4:H353,"&gt;=0")</f>
        <v>23</v>
      </c>
      <c r="AB653" s="19">
        <f>COUNTIFS(F4:F353,Z653,B4:B353,3)+COUNTIFS(I4:I353,Z653,M4:M353,3)</f>
        <v>8</v>
      </c>
      <c r="AC653" s="19">
        <f>COUNTIFS(F4:F353,Z653,B4:B353,1)+COUNTIFS(I4:I353,Z653,M4:M353,1)</f>
        <v>4</v>
      </c>
      <c r="AD653" s="19">
        <f>COUNTIFS(F4:F353,Z653,B4:B353,0)+COUNTIFS(I4:I353,Z653,M4:M353,0)</f>
        <v>11</v>
      </c>
      <c r="AE653" s="19">
        <f>SUMIF(F4:F353,Z653,G4:G353)+SUMIF(I4:I353,Z653,H4:H353)</f>
        <v>38</v>
      </c>
      <c r="AF653" s="19">
        <f>SUMIF(F4:F353,Z653,H4:H353)+SUMIF(I4:I353,Z653,G4:G353)</f>
        <v>37</v>
      </c>
      <c r="AG653" s="19">
        <f t="shared" si="385"/>
        <v>1</v>
      </c>
      <c r="AH653" s="19">
        <f t="shared" si="386"/>
        <v>28</v>
      </c>
      <c r="AI653" s="19">
        <f t="shared" si="384"/>
        <v>28000.047999999999</v>
      </c>
      <c r="AJ653" s="2"/>
      <c r="AW653" s="7"/>
    </row>
    <row r="654" spans="1:49" x14ac:dyDescent="0.25">
      <c r="A654" s="1"/>
      <c r="B654" s="1"/>
      <c r="C654" s="1"/>
      <c r="D654" s="64"/>
      <c r="E654" s="1"/>
      <c r="G654" s="1"/>
      <c r="H654" s="1"/>
      <c r="K654" s="64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2" t="str">
        <f t="shared" si="383"/>
        <v>FC Augsburg</v>
      </c>
      <c r="W654" s="2">
        <f t="shared" si="381"/>
        <v>13</v>
      </c>
      <c r="Y654" s="19">
        <f>RANK(AI654,$AI$645:$AI$662,0)+COUNTIF($AI$644:AI653,AI654)</f>
        <v>13</v>
      </c>
      <c r="Z654" s="19" t="str">
        <f t="shared" si="382"/>
        <v>FC Augsburg</v>
      </c>
      <c r="AA654" s="19">
        <f>COUNTIFS(F4:F353,Z654,G4:G353,"&gt;=0")+COUNTIFS(I4:I353,Z654,H4:H353,"&gt;=0")</f>
        <v>24</v>
      </c>
      <c r="AB654" s="19">
        <f>COUNTIFS(F4:F353,Z654,B4:B353,3)+COUNTIFS(I4:I353,Z654,M4:M353,3)</f>
        <v>7</v>
      </c>
      <c r="AC654" s="19">
        <f>COUNTIFS(F4:F353,Z654,B4:B353,1)+COUNTIFS(I4:I353,Z654,M4:M353,1)</f>
        <v>6</v>
      </c>
      <c r="AD654" s="19">
        <f>COUNTIFS(F4:F353,Z654,B4:B353,0)+COUNTIFS(I4:I353,Z654,M4:M353,0)</f>
        <v>11</v>
      </c>
      <c r="AE654" s="19">
        <f>SUMIF(F4:F353,Z654,G4:G353)+SUMIF(I4:I353,Z654,H4:H353)</f>
        <v>36</v>
      </c>
      <c r="AF654" s="19">
        <f>SUMIF(F4:F353,Z654,H4:H353)+SUMIF(I4:I353,Z654,G4:G353)</f>
        <v>50</v>
      </c>
      <c r="AG654" s="19">
        <f t="shared" si="385"/>
        <v>-14</v>
      </c>
      <c r="AH654" s="19">
        <f t="shared" si="386"/>
        <v>27</v>
      </c>
      <c r="AI654" s="19">
        <f t="shared" si="384"/>
        <v>26999.896000000001</v>
      </c>
      <c r="AJ654" s="2"/>
      <c r="AW654" s="7"/>
    </row>
    <row r="655" spans="1:49" x14ac:dyDescent="0.25">
      <c r="A655" s="1"/>
      <c r="B655" s="1"/>
      <c r="C655" s="1"/>
      <c r="D655" s="64"/>
      <c r="E655" s="1"/>
      <c r="G655" s="1"/>
      <c r="H655" s="1"/>
      <c r="K655" s="64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2" t="str">
        <f t="shared" si="383"/>
        <v>FC Schalke 04</v>
      </c>
      <c r="W655" s="2">
        <f t="shared" si="381"/>
        <v>6</v>
      </c>
      <c r="Y655" s="19">
        <f>RANK(AI655,$AI$645:$AI$662,0)+COUNTIF($AI$644:AI654,AI655)</f>
        <v>6</v>
      </c>
      <c r="Z655" s="19" t="str">
        <f t="shared" si="382"/>
        <v>FC Schalke 04</v>
      </c>
      <c r="AA655" s="19">
        <f>COUNTIFS(F4:F353,Z655,G4:G353,"&gt;=0")+COUNTIFS(I4:I353,Z655,H4:H353,"&gt;=0")</f>
        <v>24</v>
      </c>
      <c r="AB655" s="19">
        <f>COUNTIFS(F4:F353,Z655,B4:B353,3)+COUNTIFS(I4:I353,Z655,M4:M353,3)</f>
        <v>9</v>
      </c>
      <c r="AC655" s="19">
        <f>COUNTIFS(F4:F353,Z655,B4:B353,1)+COUNTIFS(I4:I353,Z655,M4:M353,1)</f>
        <v>9</v>
      </c>
      <c r="AD655" s="19">
        <f>COUNTIFS(F4:F353,Z655,B4:B353,0)+COUNTIFS(I4:I353,Z655,M4:M353,0)</f>
        <v>6</v>
      </c>
      <c r="AE655" s="19">
        <f>SUMIF(F4:F353,Z655,G4:G353)+SUMIF(I4:I353,Z655,H4:H353)</f>
        <v>32</v>
      </c>
      <c r="AF655" s="19">
        <f>SUMIF(F4:F353,Z655,H4:H353)+SUMIF(I4:I353,Z655,G4:G353)</f>
        <v>35</v>
      </c>
      <c r="AG655" s="19">
        <f t="shared" si="385"/>
        <v>-3</v>
      </c>
      <c r="AH655" s="19">
        <f t="shared" si="386"/>
        <v>36</v>
      </c>
      <c r="AI655" s="19">
        <f t="shared" si="384"/>
        <v>36000.002</v>
      </c>
      <c r="AJ655" s="2"/>
      <c r="AW655" s="7"/>
    </row>
    <row r="656" spans="1:49" x14ac:dyDescent="0.25">
      <c r="A656" s="1"/>
      <c r="B656" s="1"/>
      <c r="C656" s="1"/>
      <c r="D656" s="64"/>
      <c r="E656" s="1"/>
      <c r="G656" s="1"/>
      <c r="H656" s="1"/>
      <c r="K656" s="64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2" t="str">
        <f t="shared" si="383"/>
        <v>Fortuna Düsseldorf</v>
      </c>
      <c r="W656" s="2">
        <f t="shared" si="381"/>
        <v>16</v>
      </c>
      <c r="Y656" s="19">
        <f>RANK(AI656,$AI$645:$AI$662,0)+COUNTIF($AI$644:AI655,AI656)</f>
        <v>16</v>
      </c>
      <c r="Z656" s="19" t="str">
        <f t="shared" si="382"/>
        <v>Fortuna Düsseldorf</v>
      </c>
      <c r="AA656" s="19">
        <f>COUNTIFS(F4:F353,Z656,G4:G353,"&gt;=0")+COUNTIFS(I4:I353,Z656,H4:H353,"&gt;=0")</f>
        <v>24</v>
      </c>
      <c r="AB656" s="19">
        <f>COUNTIFS(F4:F353,Z656,B4:B353,3)+COUNTIFS(I4:I353,Z656,M4:M353,3)</f>
        <v>5</v>
      </c>
      <c r="AC656" s="19">
        <f>COUNTIFS(F4:F353,Z656,B4:B353,1)+COUNTIFS(I4:I353,Z656,M4:M353,1)</f>
        <v>6</v>
      </c>
      <c r="AD656" s="19">
        <f>COUNTIFS(F4:F353,Z656,B4:B353,0)+COUNTIFS(I4:I353,Z656,M4:M353,0)</f>
        <v>13</v>
      </c>
      <c r="AE656" s="19">
        <f>SUMIF(F4:F353,Z656,G4:G353)+SUMIF(I4:I353,Z656,H4:H353)</f>
        <v>26</v>
      </c>
      <c r="AF656" s="19">
        <f>SUMIF(F4:F353,Z656,H4:H353)+SUMIF(I4:I353,Z656,G4:G353)</f>
        <v>49</v>
      </c>
      <c r="AG656" s="19">
        <f t="shared" si="385"/>
        <v>-23</v>
      </c>
      <c r="AH656" s="19">
        <f t="shared" si="386"/>
        <v>21</v>
      </c>
      <c r="AI656" s="19">
        <f t="shared" si="384"/>
        <v>20999.796000000002</v>
      </c>
      <c r="AJ656" s="2"/>
      <c r="AW656" s="7"/>
    </row>
    <row r="657" spans="1:49" x14ac:dyDescent="0.25">
      <c r="A657" s="1"/>
      <c r="B657" s="1"/>
      <c r="C657" s="1"/>
      <c r="D657" s="64"/>
      <c r="E657" s="1"/>
      <c r="G657" s="1"/>
      <c r="H657" s="1"/>
      <c r="K657" s="64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2" t="str">
        <f t="shared" si="383"/>
        <v>Hertha BSC</v>
      </c>
      <c r="W657" s="2">
        <f t="shared" si="381"/>
        <v>14</v>
      </c>
      <c r="Y657" s="19">
        <f>RANK(AI657,$AI$645:$AI$662,0)+COUNTIF($AI$644:AI656,AI657)</f>
        <v>14</v>
      </c>
      <c r="Z657" s="19" t="str">
        <f t="shared" si="382"/>
        <v>Hertha BSC</v>
      </c>
      <c r="AA657" s="19">
        <f>COUNTIFS(F4:F353,Z657,G4:G353,"&gt;=0")+COUNTIFS(I4:I353,Z657,H4:H353,"&gt;=0")</f>
        <v>24</v>
      </c>
      <c r="AB657" s="19">
        <f>COUNTIFS(F4:F353,Z657,B4:B353,3)+COUNTIFS(I4:I353,Z657,M4:M353,3)</f>
        <v>7</v>
      </c>
      <c r="AC657" s="19">
        <f>COUNTIFS(F4:F353,Z657,B4:B353,1)+COUNTIFS(I4:I353,Z657,M4:M353,1)</f>
        <v>6</v>
      </c>
      <c r="AD657" s="19">
        <f>COUNTIFS(F4:F353,Z657,B4:B353,0)+COUNTIFS(I4:I353,Z657,M4:M353,0)</f>
        <v>11</v>
      </c>
      <c r="AE657" s="19">
        <f>SUMIF(F4:F353,Z657,G4:G353)+SUMIF(I4:I353,Z657,H4:H353)</f>
        <v>30</v>
      </c>
      <c r="AF657" s="19">
        <f>SUMIF(F4:F353,Z657,H4:H353)+SUMIF(I4:I353,Z657,G4:G353)</f>
        <v>46</v>
      </c>
      <c r="AG657" s="19">
        <f t="shared" si="385"/>
        <v>-16</v>
      </c>
      <c r="AH657" s="19">
        <f t="shared" si="386"/>
        <v>27</v>
      </c>
      <c r="AI657" s="19">
        <f t="shared" si="384"/>
        <v>26999.87</v>
      </c>
      <c r="AJ657" s="2"/>
      <c r="AW657" s="7"/>
    </row>
    <row r="658" spans="1:49" x14ac:dyDescent="0.25">
      <c r="A658" s="1"/>
      <c r="B658" s="1"/>
      <c r="C658" s="1"/>
      <c r="D658" s="64"/>
      <c r="E658" s="1"/>
      <c r="G658" s="1"/>
      <c r="H658" s="1"/>
      <c r="K658" s="64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2" t="str">
        <f t="shared" si="383"/>
        <v>RB Leipzig</v>
      </c>
      <c r="W658" s="2">
        <f t="shared" si="381"/>
        <v>2</v>
      </c>
      <c r="Y658" s="19">
        <f>RANK(AI658,$AI$645:$AI$662,0)+COUNTIF($AI$644:AI657,AI658)</f>
        <v>2</v>
      </c>
      <c r="Z658" s="19" t="str">
        <f t="shared" si="382"/>
        <v>RB Leipzig</v>
      </c>
      <c r="AA658" s="19">
        <f>COUNTIFS(F4:F353,Z658,G4:G353,"&gt;=0")+COUNTIFS(I4:I353,Z658,H4:H353,"&gt;=0")</f>
        <v>24</v>
      </c>
      <c r="AB658" s="19">
        <f>COUNTIFS(F4:F353,Z658,B4:B353,3)+COUNTIFS(I4:I353,Z658,M4:M353,3)</f>
        <v>14</v>
      </c>
      <c r="AC658" s="19">
        <f>COUNTIFS(F4:F353,Z658,B4:B353,1)+COUNTIFS(I4:I353,Z658,M4:M353,1)</f>
        <v>7</v>
      </c>
      <c r="AD658" s="19">
        <f>COUNTIFS(F4:F353,Z658,B4:B353,0)+COUNTIFS(I4:I353,Z658,M4:M353,0)</f>
        <v>3</v>
      </c>
      <c r="AE658" s="19">
        <f>SUMIF(F4:F353,Z658,G4:G353)+SUMIF(I4:I353,Z658,H4:H353)</f>
        <v>62</v>
      </c>
      <c r="AF658" s="19">
        <f>SUMIF(F4:F353,Z658,H4:H353)+SUMIF(I4:I353,Z658,G4:G353)</f>
        <v>26</v>
      </c>
      <c r="AG658" s="19">
        <f t="shared" si="385"/>
        <v>36</v>
      </c>
      <c r="AH658" s="19">
        <f t="shared" si="386"/>
        <v>49</v>
      </c>
      <c r="AI658" s="19">
        <f t="shared" si="384"/>
        <v>49000.421999999999</v>
      </c>
      <c r="AJ658" s="2"/>
      <c r="AW658" s="7"/>
    </row>
    <row r="659" spans="1:49" x14ac:dyDescent="0.25">
      <c r="A659" s="1"/>
      <c r="B659" s="1"/>
      <c r="C659" s="1"/>
      <c r="D659" s="64"/>
      <c r="E659" s="1"/>
      <c r="G659" s="1"/>
      <c r="H659" s="1"/>
      <c r="K659" s="64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2" t="str">
        <f t="shared" si="383"/>
        <v>SC Freiburg</v>
      </c>
      <c r="W659" s="2">
        <f t="shared" si="381"/>
        <v>9</v>
      </c>
      <c r="Y659" s="19">
        <f>RANK(AI659,$AI$645:$AI$662,0)+COUNTIF($AI$644:AI658,AI659)</f>
        <v>9</v>
      </c>
      <c r="Z659" s="19" t="str">
        <f t="shared" si="382"/>
        <v>SC Freiburg</v>
      </c>
      <c r="AA659" s="19">
        <f>COUNTIFS(F4:F353,Z659,G4:G353,"&gt;=0")+COUNTIFS(I4:I353,Z659,H4:H353,"&gt;=0")</f>
        <v>24</v>
      </c>
      <c r="AB659" s="19">
        <f>COUNTIFS(F4:F353,Z659,B4:B353,3)+COUNTIFS(I4:I353,Z659,M4:M353,3)</f>
        <v>9</v>
      </c>
      <c r="AC659" s="19">
        <f>COUNTIFS(F4:F353,Z659,B4:B353,1)+COUNTIFS(I4:I353,Z659,M4:M353,1)</f>
        <v>6</v>
      </c>
      <c r="AD659" s="19">
        <f>COUNTIFS(F4:F353,Z659,B4:B353,0)+COUNTIFS(I4:I353,Z659,M4:M353,0)</f>
        <v>9</v>
      </c>
      <c r="AE659" s="19">
        <f>SUMIF(F4:F353,Z659,G4:G353)+SUMIF(I4:I353,Z659,H4:H353)</f>
        <v>31</v>
      </c>
      <c r="AF659" s="19">
        <f>SUMIF(F4:F353,Z659,H4:H353)+SUMIF(I4:I353,Z659,G4:G353)</f>
        <v>34</v>
      </c>
      <c r="AG659" s="19">
        <f t="shared" si="385"/>
        <v>-3</v>
      </c>
      <c r="AH659" s="19">
        <f t="shared" si="386"/>
        <v>33</v>
      </c>
      <c r="AI659" s="19">
        <f t="shared" si="384"/>
        <v>33000.001000000004</v>
      </c>
      <c r="AJ659" s="2"/>
      <c r="AW659" s="7"/>
    </row>
    <row r="660" spans="1:49" x14ac:dyDescent="0.25">
      <c r="A660" s="1"/>
      <c r="B660" s="1"/>
      <c r="C660" s="1"/>
      <c r="D660" s="64"/>
      <c r="E660" s="1"/>
      <c r="G660" s="1"/>
      <c r="H660" s="1"/>
      <c r="K660" s="64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2" t="str">
        <f t="shared" si="383"/>
        <v>SC Paderborn 07</v>
      </c>
      <c r="W660" s="2">
        <f t="shared" si="381"/>
        <v>18</v>
      </c>
      <c r="Y660" s="19">
        <f>RANK(AI660,$AI$645:$AI$662,0)+COUNTIF($AI$644:AI659,AI660)</f>
        <v>18</v>
      </c>
      <c r="Z660" s="19" t="str">
        <f t="shared" si="382"/>
        <v>SC Paderborn 07</v>
      </c>
      <c r="AA660" s="19">
        <f>COUNTIFS(F4:F353,Z660,G4:G353,"&gt;=0")+COUNTIFS(I4:I353,Z660,H4:H353,"&gt;=0")</f>
        <v>24</v>
      </c>
      <c r="AB660" s="19">
        <f>COUNTIFS(F4:F353,Z660,B4:B353,3)+COUNTIFS(I4:I353,Z660,M4:M353,3)</f>
        <v>4</v>
      </c>
      <c r="AC660" s="19">
        <f>COUNTIFS(F4:F353,Z660,B4:B353,1)+COUNTIFS(I4:I353,Z660,M4:M353,1)</f>
        <v>4</v>
      </c>
      <c r="AD660" s="19">
        <f>COUNTIFS(F4:F353,Z660,B4:B353,0)+COUNTIFS(I4:I353,Z660,M4:M353,0)</f>
        <v>16</v>
      </c>
      <c r="AE660" s="19">
        <f>SUMIF(F4:F353,Z660,G4:G353)+SUMIF(I4:I353,Z660,H4:H353)</f>
        <v>29</v>
      </c>
      <c r="AF660" s="19">
        <f>SUMIF(F4:F353,Z660,H4:H353)+SUMIF(I4:I353,Z660,G4:G353)</f>
        <v>52</v>
      </c>
      <c r="AG660" s="19">
        <f t="shared" si="385"/>
        <v>-23</v>
      </c>
      <c r="AH660" s="19">
        <f t="shared" si="386"/>
        <v>16</v>
      </c>
      <c r="AI660" s="19">
        <f t="shared" si="384"/>
        <v>15999.799000000001</v>
      </c>
      <c r="AJ660" s="2"/>
      <c r="AW660" s="7"/>
    </row>
    <row r="661" spans="1:49" x14ac:dyDescent="0.25">
      <c r="A661" s="1"/>
      <c r="B661" s="1"/>
      <c r="C661" s="1"/>
      <c r="D661" s="64"/>
      <c r="E661" s="1"/>
      <c r="G661" s="1"/>
      <c r="H661" s="1"/>
      <c r="K661" s="64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2" t="str">
        <f t="shared" si="383"/>
        <v>VfL Wolfsburg</v>
      </c>
      <c r="W661" s="2">
        <f t="shared" si="381"/>
        <v>7</v>
      </c>
      <c r="Y661" s="19">
        <f>RANK(AI661,$AI$645:$AI$662,0)+COUNTIF($AI$644:AI660,AI661)</f>
        <v>7</v>
      </c>
      <c r="Z661" s="19" t="str">
        <f t="shared" si="382"/>
        <v>VfL Wolfsburg</v>
      </c>
      <c r="AA661" s="19">
        <f>COUNTIFS(F4:F353,Z661,G4:G353,"&gt;=0")+COUNTIFS(I4:I353,Z661,H4:H353,"&gt;=0")</f>
        <v>24</v>
      </c>
      <c r="AB661" s="19">
        <f>COUNTIFS(F4:F353,Z661,B4:B353,3)+COUNTIFS(I4:I353,Z661,M4:M353,3)</f>
        <v>9</v>
      </c>
      <c r="AC661" s="19">
        <f>COUNTIFS(F4:F353,Z661,B4:B353,1)+COUNTIFS(I4:I353,Z661,M4:M353,1)</f>
        <v>8</v>
      </c>
      <c r="AD661" s="19">
        <f>COUNTIFS(F4:F353,Z661,B4:B353,0)+COUNTIFS(I4:I353,Z661,M4:M353,0)</f>
        <v>7</v>
      </c>
      <c r="AE661" s="19">
        <f>SUMIF(F4:F353,Z661,G4:G353)+SUMIF(I4:I353,Z661,H4:H353)</f>
        <v>34</v>
      </c>
      <c r="AF661" s="19">
        <f>SUMIF(F4:F353,Z661,H4:H353)+SUMIF(I4:I353,Z661,G4:G353)</f>
        <v>30</v>
      </c>
      <c r="AG661" s="19">
        <f t="shared" si="385"/>
        <v>4</v>
      </c>
      <c r="AH661" s="19">
        <f t="shared" si="386"/>
        <v>35</v>
      </c>
      <c r="AI661" s="19">
        <f t="shared" si="384"/>
        <v>35000.074000000001</v>
      </c>
      <c r="AJ661" s="2"/>
      <c r="AW661" s="7"/>
    </row>
    <row r="662" spans="1:49" x14ac:dyDescent="0.25">
      <c r="A662" s="1"/>
      <c r="B662" s="1"/>
      <c r="C662" s="1"/>
      <c r="D662" s="64"/>
      <c r="E662" s="1"/>
      <c r="G662" s="1"/>
      <c r="H662" s="1"/>
      <c r="K662" s="64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2" t="str">
        <f t="shared" si="383"/>
        <v>Werder Bremen</v>
      </c>
      <c r="W662" s="2">
        <f t="shared" si="381"/>
        <v>17</v>
      </c>
      <c r="Y662" s="19">
        <f>RANK(AI662,$AI$645:$AI$662,0)+COUNTIF($AI$644:AI661,AI662)</f>
        <v>17</v>
      </c>
      <c r="Z662" s="19" t="str">
        <f t="shared" si="382"/>
        <v>Werder Bremen</v>
      </c>
      <c r="AA662" s="19">
        <f>COUNTIFS(F4:F353,Z662,G4:G353,"&gt;=0")+COUNTIFS(I4:I353,Z662,H4:H353,"&gt;=0")</f>
        <v>23</v>
      </c>
      <c r="AB662" s="19">
        <f>COUNTIFS(F4:F353,Z662,B4:B353,3)+COUNTIFS(I4:I353,Z662,M4:M353,3)</f>
        <v>4</v>
      </c>
      <c r="AC662" s="19">
        <f>COUNTIFS(F4:F353,Z662,B4:B353,1)+COUNTIFS(I4:I353,Z662,M4:M353,1)</f>
        <v>5</v>
      </c>
      <c r="AD662" s="19">
        <f>COUNTIFS(F4:F353,Z662,B4:B353,0)+COUNTIFS(I4:I353,Z662,M4:M353,0)</f>
        <v>14</v>
      </c>
      <c r="AE662" s="19">
        <f>SUMIF(F4:F353,Z662,G4:G353)+SUMIF(I4:I353,Z662,H4:H353)</f>
        <v>25</v>
      </c>
      <c r="AF662" s="19">
        <f>SUMIF(F4:F353,Z662,H4:H353)+SUMIF(I4:I353,Z662,G4:G353)</f>
        <v>53</v>
      </c>
      <c r="AG662" s="19">
        <f t="shared" si="385"/>
        <v>-28</v>
      </c>
      <c r="AH662" s="19">
        <f t="shared" si="386"/>
        <v>17</v>
      </c>
      <c r="AI662" s="19">
        <f t="shared" si="384"/>
        <v>16999.745000000003</v>
      </c>
      <c r="AJ662" s="2"/>
      <c r="AW662" s="7"/>
    </row>
    <row r="663" spans="1:49" x14ac:dyDescent="0.25">
      <c r="A663" s="1"/>
      <c r="B663" s="1"/>
      <c r="C663" s="1"/>
      <c r="D663" s="64"/>
      <c r="E663" s="1"/>
      <c r="G663" s="1"/>
      <c r="H663" s="1"/>
      <c r="K663" s="64"/>
      <c r="L663" s="1"/>
      <c r="M663" s="1"/>
      <c r="N663" s="1"/>
      <c r="O663" s="1"/>
      <c r="P663" s="1"/>
      <c r="Q663" s="1"/>
      <c r="R663" s="1"/>
      <c r="S663" s="1"/>
      <c r="T663" s="1"/>
      <c r="U663" s="1"/>
      <c r="AJ663" s="2"/>
      <c r="AW663" s="7"/>
    </row>
    <row r="664" spans="1:49" x14ac:dyDescent="0.25">
      <c r="A664" s="1"/>
      <c r="B664" s="1"/>
      <c r="C664" s="1"/>
      <c r="D664" s="64"/>
      <c r="E664" s="1"/>
      <c r="G664" s="1"/>
      <c r="H664" s="1"/>
      <c r="K664" s="64"/>
      <c r="L664" s="1"/>
      <c r="M664" s="1"/>
      <c r="N664" s="1"/>
      <c r="O664" s="1"/>
      <c r="P664" s="1"/>
      <c r="Q664" s="1"/>
      <c r="R664" s="1"/>
      <c r="S664" s="1"/>
      <c r="T664" s="1"/>
      <c r="U664" s="1"/>
      <c r="W664" s="18">
        <v>33</v>
      </c>
      <c r="Y664" s="19"/>
      <c r="Z664" s="19" t="s">
        <v>1</v>
      </c>
      <c r="AA664" s="19" t="s">
        <v>2</v>
      </c>
      <c r="AB664" s="19" t="s">
        <v>3</v>
      </c>
      <c r="AC664" s="19" t="s">
        <v>4</v>
      </c>
      <c r="AD664" s="19" t="s">
        <v>5</v>
      </c>
      <c r="AE664" s="19" t="s">
        <v>6</v>
      </c>
      <c r="AF664" s="19" t="s">
        <v>7</v>
      </c>
      <c r="AG664" s="19" t="s">
        <v>8</v>
      </c>
      <c r="AH664" s="19" t="s">
        <v>9</v>
      </c>
      <c r="AI664" s="19" t="s">
        <v>0</v>
      </c>
      <c r="AW664" s="7"/>
    </row>
    <row r="665" spans="1:49" x14ac:dyDescent="0.25">
      <c r="A665" s="1"/>
      <c r="B665" s="1"/>
      <c r="C665" s="1"/>
      <c r="D665" s="64"/>
      <c r="E665" s="1"/>
      <c r="G665" s="1"/>
      <c r="H665" s="1"/>
      <c r="K665" s="64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2" t="str">
        <f>CONCATENATE(Z665)</f>
        <v>1. FC Köln</v>
      </c>
      <c r="W665" s="2">
        <f t="shared" ref="W665:W682" si="387">Y665</f>
        <v>11</v>
      </c>
      <c r="Y665" s="19">
        <f>RANK(AI665,$AI$665:$AI$682,0)+COUNTIF($AI$664:AI664,AI665)</f>
        <v>11</v>
      </c>
      <c r="Z665" s="19" t="str">
        <f t="shared" ref="Z665:Z682" si="388">CONCATENATE(Z5)</f>
        <v>1. FC Köln</v>
      </c>
      <c r="AA665" s="19">
        <f>COUNTIFS(F4:F364,Z665,G4:G364,"&gt;=0")+COUNTIFS(I4:I364,Z665,H4:H364,"&gt;=0")</f>
        <v>23</v>
      </c>
      <c r="AB665" s="19">
        <f>COUNTIFS(F4:F364,Z665,B4:B364,3)+COUNTIFS(I4:I364,Z665,M4:M364,3)</f>
        <v>9</v>
      </c>
      <c r="AC665" s="19">
        <f>COUNTIFS(F4:F364,Z665,B4:B364,1)+COUNTIFS(I4:I364,Z665,M4:M364,1)</f>
        <v>2</v>
      </c>
      <c r="AD665" s="19">
        <f>COUNTIFS(F4:F364,Z665,B4:B364,0)+COUNTIFS(I4:I364,Z665,M4:M364,0)</f>
        <v>12</v>
      </c>
      <c r="AE665" s="19">
        <f>SUMIF(F4:F364,Z665,G4:G364)+SUMIF(I4:I364,Z665,H4:H364)</f>
        <v>36</v>
      </c>
      <c r="AF665" s="19">
        <f>SUMIF(F4:F364,Z665,H4:H364)+SUMIF(I4:I364,Z665,G4:G364)</f>
        <v>42</v>
      </c>
      <c r="AG665" s="19">
        <f>+AE665-AF665</f>
        <v>-6</v>
      </c>
      <c r="AH665" s="19">
        <f>(AB665*3)+AC665</f>
        <v>29</v>
      </c>
      <c r="AI665" s="19">
        <f>SUM(AH665*1000+(AG665)/100+(AE665)/1000)</f>
        <v>28999.975999999999</v>
      </c>
      <c r="AJ665" s="2"/>
      <c r="AW665" s="7"/>
    </row>
    <row r="666" spans="1:49" x14ac:dyDescent="0.25">
      <c r="A666" s="1"/>
      <c r="B666" s="1"/>
      <c r="C666" s="1"/>
      <c r="D666" s="64"/>
      <c r="E666" s="1"/>
      <c r="G666" s="1"/>
      <c r="H666" s="1"/>
      <c r="K666" s="64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2" t="str">
        <f t="shared" ref="V666:V682" si="389">CONCATENATE(Z666)</f>
        <v>1. FC Union Berlin</v>
      </c>
      <c r="W666" s="2">
        <f t="shared" si="387"/>
        <v>10</v>
      </c>
      <c r="Y666" s="19">
        <f>RANK(AI666,$AI$665:$AI$682,0)+COUNTIF($AI$664:AI665,AI666)</f>
        <v>10</v>
      </c>
      <c r="Z666" s="19" t="str">
        <f t="shared" si="388"/>
        <v>1. FC Union Berlin</v>
      </c>
      <c r="AA666" s="19">
        <f>COUNTIFS(F4:F364,Z666,G4:G364,"&gt;=0")+COUNTIFS(I4:I364,Z666,H4:H364,"&gt;=0")</f>
        <v>24</v>
      </c>
      <c r="AB666" s="19">
        <f>COUNTIFS(F4:F364,Z666,B4:B364,3)+COUNTIFS(I4:I364,Z666,M4:M364,3)</f>
        <v>9</v>
      </c>
      <c r="AC666" s="19">
        <f>COUNTIFS(F4:F364,Z666,B4:B364,1)+COUNTIFS(I4:I364,Z666,M4:M364,1)</f>
        <v>3</v>
      </c>
      <c r="AD666" s="19">
        <f>COUNTIFS(F4:F364,Z666,B4:B364,0)+COUNTIFS(I4:I364,Z666,M4:M364,0)</f>
        <v>12</v>
      </c>
      <c r="AE666" s="19">
        <f>SUMIF(F4:F364,Z666,G4:G364)+SUMIF(I4:I364,Z666,H4:H364)</f>
        <v>31</v>
      </c>
      <c r="AF666" s="19">
        <f>SUMIF(F4:F364,Z666,H4:H364)+SUMIF(I4:I364,Z666,G4:G364)</f>
        <v>38</v>
      </c>
      <c r="AG666" s="19">
        <f>+AE666-AF666</f>
        <v>-7</v>
      </c>
      <c r="AH666" s="19">
        <f>(AB666*3)+AC666</f>
        <v>30</v>
      </c>
      <c r="AI666" s="19">
        <f t="shared" ref="AI666:AI682" si="390">SUM(AH666*1000+(AG666)/100+(AE666)/1000)</f>
        <v>29999.960999999999</v>
      </c>
      <c r="AJ666" s="2"/>
      <c r="AW666" s="7"/>
    </row>
    <row r="667" spans="1:49" x14ac:dyDescent="0.25">
      <c r="A667" s="1"/>
      <c r="B667" s="1"/>
      <c r="C667" s="1"/>
      <c r="D667" s="64"/>
      <c r="E667" s="1"/>
      <c r="G667" s="1"/>
      <c r="H667" s="1"/>
      <c r="K667" s="64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2" t="str">
        <f t="shared" si="389"/>
        <v>1. FSV Mainz 05</v>
      </c>
      <c r="W667" s="2">
        <f t="shared" si="387"/>
        <v>15</v>
      </c>
      <c r="Y667" s="19">
        <f>RANK(AI667,$AI$665:$AI$682,0)+COUNTIF($AI$664:AI666,AI667)</f>
        <v>15</v>
      </c>
      <c r="Z667" s="19" t="str">
        <f t="shared" si="388"/>
        <v>1. FSV Mainz 05</v>
      </c>
      <c r="AA667" s="19">
        <f>COUNTIFS(F4:F364,Z667,G4:G364,"&gt;=0")+COUNTIFS(I4:I364,Z667,H4:H364,"&gt;=0")</f>
        <v>24</v>
      </c>
      <c r="AB667" s="19">
        <f>COUNTIFS(F4:F364,Z667,B4:B364,3)+COUNTIFS(I4:I364,Z667,M4:M364,3)</f>
        <v>8</v>
      </c>
      <c r="AC667" s="19">
        <f>COUNTIFS(F4:F364,Z667,B4:B364,1)+COUNTIFS(I4:I364,Z667,M4:M364,1)</f>
        <v>1</v>
      </c>
      <c r="AD667" s="19">
        <f>COUNTIFS(F4:F364,Z667,B4:B364,0)+COUNTIFS(I4:I364,Z667,M4:M364,0)</f>
        <v>15</v>
      </c>
      <c r="AE667" s="19">
        <f>SUMIF(F4:F364,Z667,G4:G364)+SUMIF(I4:I364,Z667,H4:H364)</f>
        <v>33</v>
      </c>
      <c r="AF667" s="19">
        <f>SUMIF(F4:F364,Z667,H4:H364)+SUMIF(I4:I364,Z667,G4:G364)</f>
        <v>52</v>
      </c>
      <c r="AG667" s="19">
        <f>+AE667-AF667</f>
        <v>-19</v>
      </c>
      <c r="AH667" s="19">
        <f>(AB667*3)+AC667</f>
        <v>25</v>
      </c>
      <c r="AI667" s="19">
        <f t="shared" si="390"/>
        <v>24999.843000000001</v>
      </c>
      <c r="AJ667" s="2"/>
      <c r="AW667" s="7"/>
    </row>
    <row r="668" spans="1:49" x14ac:dyDescent="0.25">
      <c r="A668" s="1"/>
      <c r="B668" s="1"/>
      <c r="C668" s="1"/>
      <c r="D668" s="64"/>
      <c r="E668" s="1"/>
      <c r="G668" s="1"/>
      <c r="H668" s="1"/>
      <c r="K668" s="64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2" t="str">
        <f t="shared" si="389"/>
        <v>1899 Hoffenheim</v>
      </c>
      <c r="W668" s="2">
        <f t="shared" si="387"/>
        <v>8</v>
      </c>
      <c r="Y668" s="19">
        <f>RANK(AI668,$AI$665:$AI$682,0)+COUNTIF($AI$664:AI667,AI668)</f>
        <v>8</v>
      </c>
      <c r="Z668" s="19" t="str">
        <f t="shared" si="388"/>
        <v>1899 Hoffenheim</v>
      </c>
      <c r="AA668" s="19">
        <f>COUNTIFS(F4:F364,Z668,G4:G364,"&gt;=0")+COUNTIFS(I4:I364,Z668,H4:H364,"&gt;=0")</f>
        <v>24</v>
      </c>
      <c r="AB668" s="19">
        <f>COUNTIFS(F4:F364,Z668,B4:B364,3)+COUNTIFS(I4:I364,Z668,M4:M364,3)</f>
        <v>10</v>
      </c>
      <c r="AC668" s="19">
        <f>COUNTIFS(F4:F364,Z668,B4:B364,1)+COUNTIFS(I4:I364,Z668,M4:M364,1)</f>
        <v>4</v>
      </c>
      <c r="AD668" s="19">
        <f>COUNTIFS(F4:F364,Z668,B4:B364,0)+COUNTIFS(I4:I364,Z668,M4:M364,0)</f>
        <v>10</v>
      </c>
      <c r="AE668" s="19">
        <f>SUMIF(F4:F364,Z668,G4:G364)+SUMIF(I4:I364,Z668,H4:H364)</f>
        <v>34</v>
      </c>
      <c r="AF668" s="19">
        <f>SUMIF(F4:F364,Z668,H4:H364)+SUMIF(I4:I364,Z668,G4:G364)</f>
        <v>42</v>
      </c>
      <c r="AG668" s="19">
        <f t="shared" ref="AG668:AG682" si="391">+AE668-AF668</f>
        <v>-8</v>
      </c>
      <c r="AH668" s="19">
        <f>(AB668*3)+AC668</f>
        <v>34</v>
      </c>
      <c r="AI668" s="19">
        <f t="shared" si="390"/>
        <v>33999.953999999998</v>
      </c>
      <c r="AJ668" s="2"/>
      <c r="AW668" s="7"/>
    </row>
    <row r="669" spans="1:49" x14ac:dyDescent="0.25">
      <c r="A669" s="1"/>
      <c r="B669" s="1"/>
      <c r="C669" s="1"/>
      <c r="D669" s="64"/>
      <c r="E669" s="1"/>
      <c r="G669" s="1"/>
      <c r="H669" s="1"/>
      <c r="K669" s="64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2" t="str">
        <f t="shared" si="389"/>
        <v>Bayer Leverkusen</v>
      </c>
      <c r="W669" s="2">
        <f t="shared" si="387"/>
        <v>5</v>
      </c>
      <c r="Y669" s="19">
        <f>RANK(AI669,$AI$665:$AI$682,0)+COUNTIF($AI$664:AI668,AI669)</f>
        <v>5</v>
      </c>
      <c r="Z669" s="19" t="str">
        <f t="shared" si="388"/>
        <v>Bayer Leverkusen</v>
      </c>
      <c r="AA669" s="19">
        <f>COUNTIFS(F4:F364,Z669,G4:G364,"&gt;=0")+COUNTIFS(I4:I364,Z669,H4:H364,"&gt;=0")</f>
        <v>24</v>
      </c>
      <c r="AB669" s="19">
        <f>COUNTIFS(F4:F364,Z669,B4:B364,3)+COUNTIFS(I4:I364,Z669,M4:M364,3)</f>
        <v>13</v>
      </c>
      <c r="AC669" s="19">
        <f>COUNTIFS(F4:F364,Z669,B4:B364,1)+COUNTIFS(I4:I364,Z669,M4:M364,1)</f>
        <v>5</v>
      </c>
      <c r="AD669" s="19">
        <f>COUNTIFS(F4:F364,Z669,B4:B364,0)+COUNTIFS(I4:I364,Z669,M4:M364,0)</f>
        <v>6</v>
      </c>
      <c r="AE669" s="19">
        <f>SUMIF(F4:F364,Z669,G4:G364)+SUMIF(I4:I364,Z669,H4:H364)</f>
        <v>41</v>
      </c>
      <c r="AF669" s="19">
        <f>SUMIF(F4:F364,Z669,H4:H364)+SUMIF(I4:I364,Z669,G4:G364)</f>
        <v>30</v>
      </c>
      <c r="AG669" s="19">
        <f t="shared" si="391"/>
        <v>11</v>
      </c>
      <c r="AH669" s="19">
        <f>(AB669*3)+AC669</f>
        <v>44</v>
      </c>
      <c r="AI669" s="19">
        <f t="shared" si="390"/>
        <v>44000.150999999998</v>
      </c>
      <c r="AJ669" s="2"/>
      <c r="AW669" s="7"/>
    </row>
    <row r="670" spans="1:49" x14ac:dyDescent="0.25">
      <c r="A670" s="1"/>
      <c r="B670" s="1"/>
      <c r="C670" s="1"/>
      <c r="D670" s="64"/>
      <c r="E670" s="1"/>
      <c r="G670" s="1"/>
      <c r="H670" s="1"/>
      <c r="K670" s="64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2" t="str">
        <f t="shared" si="389"/>
        <v>Bayern München</v>
      </c>
      <c r="W670" s="2">
        <f t="shared" si="387"/>
        <v>1</v>
      </c>
      <c r="Y670" s="19">
        <f>RANK(AI670,$AI$665:$AI$682,0)+COUNTIF($AI$664:AI669,AI670)</f>
        <v>1</v>
      </c>
      <c r="Z670" s="19" t="str">
        <f t="shared" si="388"/>
        <v>Bayern München</v>
      </c>
      <c r="AA670" s="19">
        <f>COUNTIFS(F4:F364,Z670,G4:G364,"&gt;=0")+COUNTIFS(I4:I364,Z670,H4:H364,"&gt;=0")</f>
        <v>24</v>
      </c>
      <c r="AB670" s="19">
        <f>COUNTIFS(F4:F364,Z670,B4:B364,3)+COUNTIFS(I4:I364,Z670,M4:M364,3)</f>
        <v>16</v>
      </c>
      <c r="AC670" s="19">
        <f>COUNTIFS(F4:F364,Z670,B4:B364,1)+COUNTIFS(I4:I364,Z670,M4:M364,1)</f>
        <v>4</v>
      </c>
      <c r="AD670" s="19">
        <f>COUNTIFS(F4:F364,Z670,B4:B364,0)+COUNTIFS(I4:I364,Z670,M4:M364,0)</f>
        <v>4</v>
      </c>
      <c r="AE670" s="19">
        <f>SUMIF(F4:F364,Z670,G4:G364)+SUMIF(I4:I364,Z670,H4:H364)</f>
        <v>71</v>
      </c>
      <c r="AF670" s="19">
        <f>SUMIF(F4:F364,Z670,H4:H364)+SUMIF(I4:I364,Z670,G4:G364)</f>
        <v>26</v>
      </c>
      <c r="AG670" s="19">
        <f t="shared" si="391"/>
        <v>45</v>
      </c>
      <c r="AH670" s="19">
        <f t="shared" ref="AH670:AH682" si="392">(AB670*3)+AC670</f>
        <v>52</v>
      </c>
      <c r="AI670" s="19">
        <f t="shared" si="390"/>
        <v>52000.521000000001</v>
      </c>
      <c r="AJ670" s="2"/>
      <c r="AW670" s="7"/>
    </row>
    <row r="671" spans="1:49" x14ac:dyDescent="0.25">
      <c r="A671" s="1"/>
      <c r="B671" s="1"/>
      <c r="C671" s="1"/>
      <c r="D671" s="64"/>
      <c r="E671" s="1"/>
      <c r="G671" s="1"/>
      <c r="H671" s="1"/>
      <c r="K671" s="64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2" t="str">
        <f t="shared" si="389"/>
        <v>Bor. Mönchengladbach</v>
      </c>
      <c r="W671" s="2">
        <f t="shared" si="387"/>
        <v>4</v>
      </c>
      <c r="Y671" s="19">
        <f>RANK(AI671,$AI$665:$AI$682,0)+COUNTIF($AI$664:AI670,AI671)</f>
        <v>4</v>
      </c>
      <c r="Z671" s="19" t="str">
        <f t="shared" si="388"/>
        <v>Bor. Mönchengladbach</v>
      </c>
      <c r="AA671" s="19">
        <f>COUNTIFS(F4:F364,Z671,G4:G364,"&gt;=0")+COUNTIFS(I4:I364,Z671,H4:H364,"&gt;=0")</f>
        <v>23</v>
      </c>
      <c r="AB671" s="19">
        <f>COUNTIFS(F4:F364,Z671,B4:B364,3)+COUNTIFS(I4:I364,Z671,M4:M364,3)</f>
        <v>14</v>
      </c>
      <c r="AC671" s="19">
        <f>COUNTIFS(F4:F364,Z671,B4:B364,1)+COUNTIFS(I4:I364,Z671,M4:M364,1)</f>
        <v>4</v>
      </c>
      <c r="AD671" s="19">
        <f>COUNTIFS(F4:F364,Z671,B4:B364,0)+COUNTIFS(I4:I364,Z671,M4:M364,0)</f>
        <v>5</v>
      </c>
      <c r="AE671" s="19">
        <f>SUMIF(F4:F364,Z671,G4:G364)+SUMIF(I4:I364,Z671,H4:H364)</f>
        <v>46</v>
      </c>
      <c r="AF671" s="19">
        <f>SUMIF(F4:F364,Z671,H4:H364)+SUMIF(I4:I364,Z671,G4:G364)</f>
        <v>27</v>
      </c>
      <c r="AG671" s="19">
        <f t="shared" si="391"/>
        <v>19</v>
      </c>
      <c r="AH671" s="19">
        <f t="shared" si="392"/>
        <v>46</v>
      </c>
      <c r="AI671" s="19">
        <f t="shared" si="390"/>
        <v>46000.236000000004</v>
      </c>
      <c r="AJ671" s="2"/>
      <c r="AW671" s="7"/>
    </row>
    <row r="672" spans="1:49" x14ac:dyDescent="0.25">
      <c r="A672" s="1"/>
      <c r="B672" s="1"/>
      <c r="C672" s="1"/>
      <c r="D672" s="64"/>
      <c r="E672" s="1"/>
      <c r="G672" s="1"/>
      <c r="H672" s="1"/>
      <c r="K672" s="64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2" t="str">
        <f t="shared" si="389"/>
        <v>Borussia Dortmund</v>
      </c>
      <c r="W672" s="2">
        <f t="shared" si="387"/>
        <v>3</v>
      </c>
      <c r="Y672" s="19">
        <f>RANK(AI672,$AI$665:$AI$682,0)+COUNTIF($AI$664:AI671,AI672)</f>
        <v>3</v>
      </c>
      <c r="Z672" s="19" t="str">
        <f t="shared" si="388"/>
        <v>Borussia Dortmund</v>
      </c>
      <c r="AA672" s="19">
        <f>COUNTIFS(F4:F364,Z672,G4:G364,"&gt;=0")+COUNTIFS(I4:I364,Z672,H4:H364,"&gt;=0")</f>
        <v>24</v>
      </c>
      <c r="AB672" s="19">
        <f>COUNTIFS(F4:F364,Z672,B4:B364,3)+COUNTIFS(I4:I364,Z672,M4:M364,3)</f>
        <v>14</v>
      </c>
      <c r="AC672" s="19">
        <f>COUNTIFS(F4:F364,Z672,B4:B364,1)+COUNTIFS(I4:I364,Z672,M4:M364,1)</f>
        <v>6</v>
      </c>
      <c r="AD672" s="19">
        <f>COUNTIFS(F4:F364,Z672,B4:B364,0)+COUNTIFS(I4:I364,Z672,M4:M364,0)</f>
        <v>4</v>
      </c>
      <c r="AE672" s="19">
        <f>SUMIF(F4:F364,Z672,G4:G364)+SUMIF(I4:I364,Z672,H4:H364)</f>
        <v>66</v>
      </c>
      <c r="AF672" s="19">
        <f>SUMIF(F4:F364,Z672,H4:H364)+SUMIF(I4:I364,Z672,G4:G364)</f>
        <v>32</v>
      </c>
      <c r="AG672" s="19">
        <f t="shared" si="391"/>
        <v>34</v>
      </c>
      <c r="AH672" s="19">
        <f t="shared" si="392"/>
        <v>48</v>
      </c>
      <c r="AI672" s="19">
        <f t="shared" si="390"/>
        <v>48000.405999999995</v>
      </c>
      <c r="AJ672" s="2"/>
      <c r="AW672" s="7"/>
    </row>
    <row r="673" spans="1:49" x14ac:dyDescent="0.25">
      <c r="A673" s="1"/>
      <c r="B673" s="1"/>
      <c r="C673" s="1"/>
      <c r="D673" s="64"/>
      <c r="E673" s="1"/>
      <c r="G673" s="1"/>
      <c r="H673" s="1"/>
      <c r="K673" s="64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2" t="str">
        <f t="shared" si="389"/>
        <v>Eintracht Frankfurt</v>
      </c>
      <c r="W673" s="2">
        <f t="shared" si="387"/>
        <v>12</v>
      </c>
      <c r="Y673" s="19">
        <f>RANK(AI673,$AI$665:$AI$682,0)+COUNTIF($AI$664:AI672,AI673)</f>
        <v>12</v>
      </c>
      <c r="Z673" s="19" t="str">
        <f t="shared" si="388"/>
        <v>Eintracht Frankfurt</v>
      </c>
      <c r="AA673" s="19">
        <f>COUNTIFS(F4:F364,Z673,G4:G364,"&gt;=0")+COUNTIFS(I4:I364,Z673,H4:H364,"&gt;=0")</f>
        <v>23</v>
      </c>
      <c r="AB673" s="19">
        <f>COUNTIFS(F4:F364,Z673,B4:B364,3)+COUNTIFS(I4:I364,Z673,M4:M364,3)</f>
        <v>8</v>
      </c>
      <c r="AC673" s="19">
        <f>COUNTIFS(F4:F364,Z673,B4:B364,1)+COUNTIFS(I4:I364,Z673,M4:M364,1)</f>
        <v>4</v>
      </c>
      <c r="AD673" s="19">
        <f>COUNTIFS(F4:F364,Z673,B4:B364,0)+COUNTIFS(I4:I364,Z673,M4:M364,0)</f>
        <v>11</v>
      </c>
      <c r="AE673" s="19">
        <f>SUMIF(F4:F364,Z673,G4:G364)+SUMIF(I4:I364,Z673,H4:H364)</f>
        <v>38</v>
      </c>
      <c r="AF673" s="19">
        <f>SUMIF(F4:F364,Z673,H4:H364)+SUMIF(I4:I364,Z673,G4:G364)</f>
        <v>37</v>
      </c>
      <c r="AG673" s="19">
        <f t="shared" si="391"/>
        <v>1</v>
      </c>
      <c r="AH673" s="19">
        <f t="shared" si="392"/>
        <v>28</v>
      </c>
      <c r="AI673" s="19">
        <f t="shared" si="390"/>
        <v>28000.047999999999</v>
      </c>
      <c r="AJ673" s="2"/>
      <c r="AW673" s="7"/>
    </row>
    <row r="674" spans="1:49" x14ac:dyDescent="0.25">
      <c r="A674" s="1"/>
      <c r="B674" s="1"/>
      <c r="C674" s="1"/>
      <c r="D674" s="64"/>
      <c r="E674" s="1"/>
      <c r="G674" s="1"/>
      <c r="H674" s="1"/>
      <c r="K674" s="64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2" t="str">
        <f t="shared" si="389"/>
        <v>FC Augsburg</v>
      </c>
      <c r="W674" s="2">
        <f t="shared" si="387"/>
        <v>13</v>
      </c>
      <c r="Y674" s="19">
        <f>RANK(AI674,$AI$665:$AI$682,0)+COUNTIF($AI$664:AI673,AI674)</f>
        <v>13</v>
      </c>
      <c r="Z674" s="19" t="str">
        <f t="shared" si="388"/>
        <v>FC Augsburg</v>
      </c>
      <c r="AA674" s="19">
        <f>COUNTIFS(F4:F364,Z674,G4:G364,"&gt;=0")+COUNTIFS(I4:I364,Z674,H4:H364,"&gt;=0")</f>
        <v>24</v>
      </c>
      <c r="AB674" s="19">
        <f>COUNTIFS(F4:F364,Z674,B4:B364,3)+COUNTIFS(I4:I364,Z674,M4:M364,3)</f>
        <v>7</v>
      </c>
      <c r="AC674" s="19">
        <f>COUNTIFS(F4:F364,Z674,B4:B364,1)+COUNTIFS(I4:I364,Z674,M4:M364,1)</f>
        <v>6</v>
      </c>
      <c r="AD674" s="19">
        <f>COUNTIFS(F4:F364,Z674,B4:B364,0)+COUNTIFS(I4:I364,Z674,M4:M364,0)</f>
        <v>11</v>
      </c>
      <c r="AE674" s="19">
        <f>SUMIF(F4:F364,Z674,G4:G364)+SUMIF(I4:I364,Z674,H4:H364)</f>
        <v>36</v>
      </c>
      <c r="AF674" s="19">
        <f>SUMIF(F4:F364,Z674,H4:H364)+SUMIF(I4:I364,Z674,G4:G364)</f>
        <v>50</v>
      </c>
      <c r="AG674" s="19">
        <f t="shared" si="391"/>
        <v>-14</v>
      </c>
      <c r="AH674" s="19">
        <f t="shared" si="392"/>
        <v>27</v>
      </c>
      <c r="AI674" s="19">
        <f t="shared" si="390"/>
        <v>26999.896000000001</v>
      </c>
      <c r="AJ674" s="2"/>
      <c r="AW674" s="7"/>
    </row>
    <row r="675" spans="1:49" x14ac:dyDescent="0.25">
      <c r="A675" s="1"/>
      <c r="B675" s="1"/>
      <c r="C675" s="1"/>
      <c r="D675" s="64"/>
      <c r="E675" s="1"/>
      <c r="G675" s="1"/>
      <c r="H675" s="1"/>
      <c r="K675" s="64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2" t="str">
        <f t="shared" si="389"/>
        <v>FC Schalke 04</v>
      </c>
      <c r="W675" s="2">
        <f t="shared" si="387"/>
        <v>6</v>
      </c>
      <c r="Y675" s="19">
        <f>RANK(AI675,$AI$665:$AI$682,0)+COUNTIF($AI$664:AI674,AI675)</f>
        <v>6</v>
      </c>
      <c r="Z675" s="19" t="str">
        <f t="shared" si="388"/>
        <v>FC Schalke 04</v>
      </c>
      <c r="AA675" s="19">
        <f>COUNTIFS(F4:F364,Z675,G4:G364,"&gt;=0")+COUNTIFS(I4:I364,Z675,H4:H364,"&gt;=0")</f>
        <v>24</v>
      </c>
      <c r="AB675" s="19">
        <f>COUNTIFS(F4:F364,Z675,B4:B364,3)+COUNTIFS(I4:I364,Z675,M4:M364,3)</f>
        <v>9</v>
      </c>
      <c r="AC675" s="19">
        <f>COUNTIFS(F4:F364,Z675,B4:B364,1)+COUNTIFS(I4:I364,Z675,M4:M364,1)</f>
        <v>9</v>
      </c>
      <c r="AD675" s="19">
        <f>COUNTIFS(F4:F364,Z675,B4:B364,0)+COUNTIFS(I4:I364,Z675,M4:M364,0)</f>
        <v>6</v>
      </c>
      <c r="AE675" s="19">
        <f>SUMIF(F4:F364,Z675,G4:G364)+SUMIF(I4:I364,Z675,H4:H364)</f>
        <v>32</v>
      </c>
      <c r="AF675" s="19">
        <f>SUMIF(F4:F364,Z675,H4:H364)+SUMIF(I4:I364,Z675,G4:G364)</f>
        <v>35</v>
      </c>
      <c r="AG675" s="19">
        <f t="shared" si="391"/>
        <v>-3</v>
      </c>
      <c r="AH675" s="19">
        <f t="shared" si="392"/>
        <v>36</v>
      </c>
      <c r="AI675" s="19">
        <f t="shared" si="390"/>
        <v>36000.002</v>
      </c>
      <c r="AJ675" s="2"/>
      <c r="AW675" s="7"/>
    </row>
    <row r="676" spans="1:49" x14ac:dyDescent="0.25">
      <c r="A676" s="1"/>
      <c r="B676" s="1"/>
      <c r="C676" s="1"/>
      <c r="D676" s="64"/>
      <c r="E676" s="1"/>
      <c r="G676" s="1"/>
      <c r="H676" s="1"/>
      <c r="K676" s="64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2" t="str">
        <f t="shared" si="389"/>
        <v>Fortuna Düsseldorf</v>
      </c>
      <c r="W676" s="2">
        <f t="shared" si="387"/>
        <v>16</v>
      </c>
      <c r="Y676" s="19">
        <f>RANK(AI676,$AI$665:$AI$682,0)+COUNTIF($AI$664:AI675,AI676)</f>
        <v>16</v>
      </c>
      <c r="Z676" s="19" t="str">
        <f t="shared" si="388"/>
        <v>Fortuna Düsseldorf</v>
      </c>
      <c r="AA676" s="19">
        <f>COUNTIFS(F4:F364,Z676,G4:G364,"&gt;=0")+COUNTIFS(I4:I364,Z676,H4:H364,"&gt;=0")</f>
        <v>24</v>
      </c>
      <c r="AB676" s="19">
        <f>COUNTIFS(F4:F364,Z676,B4:B364,3)+COUNTIFS(I4:I364,Z676,M4:M364,3)</f>
        <v>5</v>
      </c>
      <c r="AC676" s="19">
        <f>COUNTIFS(F4:F364,Z676,B4:B364,1)+COUNTIFS(I4:I364,Z676,M4:M364,1)</f>
        <v>6</v>
      </c>
      <c r="AD676" s="19">
        <f>COUNTIFS(F4:F364,Z676,B4:B364,0)+COUNTIFS(I4:I364,Z676,M4:M364,0)</f>
        <v>13</v>
      </c>
      <c r="AE676" s="19">
        <f>SUMIF(F4:F364,Z676,G4:G364)+SUMIF(I4:I364,Z676,H4:H364)</f>
        <v>26</v>
      </c>
      <c r="AF676" s="19">
        <f>SUMIF(F4:F364,Z676,H4:H364)+SUMIF(I4:I364,Z676,G4:G364)</f>
        <v>49</v>
      </c>
      <c r="AG676" s="19">
        <f t="shared" si="391"/>
        <v>-23</v>
      </c>
      <c r="AH676" s="19">
        <f t="shared" si="392"/>
        <v>21</v>
      </c>
      <c r="AI676" s="19">
        <f t="shared" si="390"/>
        <v>20999.796000000002</v>
      </c>
      <c r="AJ676" s="2"/>
      <c r="AW676" s="7"/>
    </row>
    <row r="677" spans="1:49" x14ac:dyDescent="0.25">
      <c r="A677" s="1"/>
      <c r="B677" s="1"/>
      <c r="C677" s="1"/>
      <c r="D677" s="64"/>
      <c r="E677" s="1"/>
      <c r="G677" s="1"/>
      <c r="H677" s="1"/>
      <c r="K677" s="64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2" t="str">
        <f t="shared" si="389"/>
        <v>Hertha BSC</v>
      </c>
      <c r="W677" s="2">
        <f t="shared" si="387"/>
        <v>14</v>
      </c>
      <c r="Y677" s="19">
        <f>RANK(AI677,$AI$665:$AI$682,0)+COUNTIF($AI$664:AI676,AI677)</f>
        <v>14</v>
      </c>
      <c r="Z677" s="19" t="str">
        <f t="shared" si="388"/>
        <v>Hertha BSC</v>
      </c>
      <c r="AA677" s="19">
        <f>COUNTIFS(F4:F364,Z677,G4:G364,"&gt;=0")+COUNTIFS(I4:I364,Z677,H4:H364,"&gt;=0")</f>
        <v>24</v>
      </c>
      <c r="AB677" s="19">
        <f>COUNTIFS(F4:F364,Z677,B4:B364,3)+COUNTIFS(I4:I364,Z677,M4:M364,3)</f>
        <v>7</v>
      </c>
      <c r="AC677" s="19">
        <f>COUNTIFS(F4:F364,Z677,B4:B364,1)+COUNTIFS(I4:I364,Z677,M4:M364,1)</f>
        <v>6</v>
      </c>
      <c r="AD677" s="19">
        <f>COUNTIFS(F4:F364,Z677,B4:B364,0)+COUNTIFS(I4:I364,Z677,M4:M364,0)</f>
        <v>11</v>
      </c>
      <c r="AE677" s="19">
        <f>SUMIF(F4:F364,Z677,G4:G364)+SUMIF(I4:I364,Z677,H4:H364)</f>
        <v>30</v>
      </c>
      <c r="AF677" s="19">
        <f>SUMIF(F4:F364,Z677,H4:H364)+SUMIF(I4:I364,Z677,G4:G364)</f>
        <v>46</v>
      </c>
      <c r="AG677" s="19">
        <f t="shared" si="391"/>
        <v>-16</v>
      </c>
      <c r="AH677" s="19">
        <f t="shared" si="392"/>
        <v>27</v>
      </c>
      <c r="AI677" s="19">
        <f t="shared" si="390"/>
        <v>26999.87</v>
      </c>
      <c r="AJ677" s="2"/>
      <c r="AW677" s="7"/>
    </row>
    <row r="678" spans="1:49" x14ac:dyDescent="0.25">
      <c r="A678" s="1"/>
      <c r="B678" s="1"/>
      <c r="C678" s="1"/>
      <c r="D678" s="64"/>
      <c r="E678" s="1"/>
      <c r="G678" s="1"/>
      <c r="H678" s="1"/>
      <c r="K678" s="64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2" t="str">
        <f t="shared" si="389"/>
        <v>RB Leipzig</v>
      </c>
      <c r="W678" s="2">
        <f t="shared" si="387"/>
        <v>2</v>
      </c>
      <c r="Y678" s="19">
        <f>RANK(AI678,$AI$665:$AI$682,0)+COUNTIF($AI$664:AI677,AI678)</f>
        <v>2</v>
      </c>
      <c r="Z678" s="19" t="str">
        <f t="shared" si="388"/>
        <v>RB Leipzig</v>
      </c>
      <c r="AA678" s="19">
        <f>COUNTIFS(F4:F364,Z678,G4:G364,"&gt;=0")+COUNTIFS(I4:I364,Z678,H4:H364,"&gt;=0")</f>
        <v>24</v>
      </c>
      <c r="AB678" s="19">
        <f>COUNTIFS(F4:F364,Z678,B4:B364,3)+COUNTIFS(I4:I364,Z678,M4:M364,3)</f>
        <v>14</v>
      </c>
      <c r="AC678" s="19">
        <f>COUNTIFS(F4:F364,Z678,B4:B364,1)+COUNTIFS(I4:I364,Z678,M4:M364,1)</f>
        <v>7</v>
      </c>
      <c r="AD678" s="19">
        <f>COUNTIFS(F4:F364,Z678,B4:B364,0)+COUNTIFS(I4:I364,Z678,M4:M364,0)</f>
        <v>3</v>
      </c>
      <c r="AE678" s="19">
        <f>SUMIF(F4:F364,Z678,G4:G364)+SUMIF(I4:I364,Z678,H4:H364)</f>
        <v>62</v>
      </c>
      <c r="AF678" s="19">
        <f>SUMIF(F4:F364,Z678,H4:H364)+SUMIF(I4:I364,Z678,G4:G364)</f>
        <v>26</v>
      </c>
      <c r="AG678" s="19">
        <f t="shared" si="391"/>
        <v>36</v>
      </c>
      <c r="AH678" s="19">
        <f t="shared" si="392"/>
        <v>49</v>
      </c>
      <c r="AI678" s="19">
        <f t="shared" si="390"/>
        <v>49000.421999999999</v>
      </c>
      <c r="AJ678" s="2"/>
      <c r="AW678" s="7"/>
    </row>
    <row r="679" spans="1:49" x14ac:dyDescent="0.25">
      <c r="A679" s="1"/>
      <c r="B679" s="1"/>
      <c r="C679" s="1"/>
      <c r="D679" s="64"/>
      <c r="E679" s="1"/>
      <c r="G679" s="1"/>
      <c r="H679" s="1"/>
      <c r="K679" s="64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2" t="str">
        <f t="shared" si="389"/>
        <v>SC Freiburg</v>
      </c>
      <c r="W679" s="2">
        <f t="shared" si="387"/>
        <v>9</v>
      </c>
      <c r="Y679" s="19">
        <f>RANK(AI679,$AI$665:$AI$682,0)+COUNTIF($AI$664:AI678,AI679)</f>
        <v>9</v>
      </c>
      <c r="Z679" s="19" t="str">
        <f t="shared" si="388"/>
        <v>SC Freiburg</v>
      </c>
      <c r="AA679" s="19">
        <f>COUNTIFS(F4:F364,Z679,G4:G364,"&gt;=0")+COUNTIFS(I4:I364,Z679,H4:H364,"&gt;=0")</f>
        <v>24</v>
      </c>
      <c r="AB679" s="19">
        <f>COUNTIFS(F4:F364,Z679,B4:B364,3)+COUNTIFS(I4:I364,Z679,M4:M364,3)</f>
        <v>9</v>
      </c>
      <c r="AC679" s="19">
        <f>COUNTIFS(F4:F364,Z679,B4:B364,1)+COUNTIFS(I4:I364,Z679,M4:M364,1)</f>
        <v>6</v>
      </c>
      <c r="AD679" s="19">
        <f>COUNTIFS(F4:F364,Z679,B4:B364,0)+COUNTIFS(I4:I364,Z679,M4:M364,0)</f>
        <v>9</v>
      </c>
      <c r="AE679" s="19">
        <f>SUMIF(F4:F364,Z679,G4:G364)+SUMIF(I4:I364,Z679,H4:H364)</f>
        <v>31</v>
      </c>
      <c r="AF679" s="19">
        <f>SUMIF(F4:F364,Z679,H4:H364)+SUMIF(I4:I364,Z679,G4:G364)</f>
        <v>34</v>
      </c>
      <c r="AG679" s="19">
        <f t="shared" si="391"/>
        <v>-3</v>
      </c>
      <c r="AH679" s="19">
        <f t="shared" si="392"/>
        <v>33</v>
      </c>
      <c r="AI679" s="19">
        <f t="shared" si="390"/>
        <v>33000.001000000004</v>
      </c>
      <c r="AJ679" s="2"/>
      <c r="AW679" s="7"/>
    </row>
    <row r="680" spans="1:49" x14ac:dyDescent="0.25">
      <c r="A680" s="1"/>
      <c r="B680" s="1"/>
      <c r="C680" s="1"/>
      <c r="D680" s="64"/>
      <c r="E680" s="1"/>
      <c r="G680" s="1"/>
      <c r="H680" s="1"/>
      <c r="K680" s="64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2" t="str">
        <f t="shared" si="389"/>
        <v>SC Paderborn 07</v>
      </c>
      <c r="W680" s="2">
        <f t="shared" si="387"/>
        <v>18</v>
      </c>
      <c r="Y680" s="19">
        <f>RANK(AI680,$AI$665:$AI$682,0)+COUNTIF($AI$664:AI679,AI680)</f>
        <v>18</v>
      </c>
      <c r="Z680" s="19" t="str">
        <f t="shared" si="388"/>
        <v>SC Paderborn 07</v>
      </c>
      <c r="AA680" s="19">
        <f>COUNTIFS(F4:F364,Z680,G4:G364,"&gt;=0")+COUNTIFS(I4:I364,Z680,H4:H364,"&gt;=0")</f>
        <v>24</v>
      </c>
      <c r="AB680" s="19">
        <f>COUNTIFS(F4:F364,Z680,B4:B364,3)+COUNTIFS(I4:I364,Z680,M4:M364,3)</f>
        <v>4</v>
      </c>
      <c r="AC680" s="19">
        <f>COUNTIFS(F4:F364,Z680,B4:B364,1)+COUNTIFS(I4:I364,Z680,M4:M364,1)</f>
        <v>4</v>
      </c>
      <c r="AD680" s="19">
        <f>COUNTIFS(F4:F364,Z680,B4:B364,0)+COUNTIFS(I4:I364,Z680,M4:M364,0)</f>
        <v>16</v>
      </c>
      <c r="AE680" s="19">
        <f>SUMIF(F4:F364,Z680,G4:G364)+SUMIF(I4:I364,Z680,H4:H364)</f>
        <v>29</v>
      </c>
      <c r="AF680" s="19">
        <f>SUMIF(F4:F364,Z680,H4:H364)+SUMIF(I4:I364,Z680,G4:G364)</f>
        <v>52</v>
      </c>
      <c r="AG680" s="19">
        <f t="shared" si="391"/>
        <v>-23</v>
      </c>
      <c r="AH680" s="19">
        <f t="shared" si="392"/>
        <v>16</v>
      </c>
      <c r="AI680" s="19">
        <f t="shared" si="390"/>
        <v>15999.799000000001</v>
      </c>
      <c r="AJ680" s="2"/>
      <c r="AW680" s="7"/>
    </row>
    <row r="681" spans="1:49" x14ac:dyDescent="0.25">
      <c r="A681" s="1"/>
      <c r="B681" s="1"/>
      <c r="C681" s="1"/>
      <c r="D681" s="64"/>
      <c r="E681" s="1"/>
      <c r="G681" s="1"/>
      <c r="H681" s="1"/>
      <c r="K681" s="64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2" t="str">
        <f t="shared" si="389"/>
        <v>VfL Wolfsburg</v>
      </c>
      <c r="W681" s="2">
        <f t="shared" si="387"/>
        <v>7</v>
      </c>
      <c r="Y681" s="19">
        <f>RANK(AI681,$AI$665:$AI$682,0)+COUNTIF($AI$664:AI680,AI681)</f>
        <v>7</v>
      </c>
      <c r="Z681" s="19" t="str">
        <f t="shared" si="388"/>
        <v>VfL Wolfsburg</v>
      </c>
      <c r="AA681" s="19">
        <f>COUNTIFS(F4:F364,Z681,G4:G364,"&gt;=0")+COUNTIFS(I4:I364,Z681,H4:H364,"&gt;=0")</f>
        <v>24</v>
      </c>
      <c r="AB681" s="19">
        <f>COUNTIFS(F4:F364,Z681,B4:B364,3)+COUNTIFS(I4:I364,Z681,M4:M364,3)</f>
        <v>9</v>
      </c>
      <c r="AC681" s="19">
        <f>COUNTIFS(F4:F364,Z681,B4:B364,1)+COUNTIFS(I4:I364,Z681,M4:M364,1)</f>
        <v>8</v>
      </c>
      <c r="AD681" s="19">
        <f>COUNTIFS(F4:F364,Z681,B4:B364,0)+COUNTIFS(I4:I364,Z681,M4:M364,0)</f>
        <v>7</v>
      </c>
      <c r="AE681" s="19">
        <f>SUMIF(F4:F364,Z681,G4:G364)+SUMIF(I4:I364,Z681,H4:H364)</f>
        <v>34</v>
      </c>
      <c r="AF681" s="19">
        <f>SUMIF(F4:F364,Z681,H4:H364)+SUMIF(I4:I364,Z681,G4:G364)</f>
        <v>30</v>
      </c>
      <c r="AG681" s="19">
        <f t="shared" si="391"/>
        <v>4</v>
      </c>
      <c r="AH681" s="19">
        <f t="shared" si="392"/>
        <v>35</v>
      </c>
      <c r="AI681" s="19">
        <f t="shared" si="390"/>
        <v>35000.074000000001</v>
      </c>
      <c r="AJ681" s="2"/>
      <c r="AW681" s="7"/>
    </row>
    <row r="682" spans="1:49" x14ac:dyDescent="0.25">
      <c r="A682" s="1"/>
      <c r="B682" s="1"/>
      <c r="C682" s="1"/>
      <c r="D682" s="64"/>
      <c r="E682" s="1"/>
      <c r="G682" s="1"/>
      <c r="H682" s="1"/>
      <c r="K682" s="64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2" t="str">
        <f t="shared" si="389"/>
        <v>Werder Bremen</v>
      </c>
      <c r="W682" s="2">
        <f t="shared" si="387"/>
        <v>17</v>
      </c>
      <c r="Y682" s="19">
        <f>RANK(AI682,$AI$665:$AI$682,0)+COUNTIF($AI$664:AI681,AI682)</f>
        <v>17</v>
      </c>
      <c r="Z682" s="19" t="str">
        <f t="shared" si="388"/>
        <v>Werder Bremen</v>
      </c>
      <c r="AA682" s="19">
        <f>COUNTIFS(F4:F364,Z682,G4:G364,"&gt;=0")+COUNTIFS(I4:I364,Z682,H4:H364,"&gt;=0")</f>
        <v>23</v>
      </c>
      <c r="AB682" s="19">
        <f>COUNTIFS(F4:F364,Z682,B4:B364,3)+COUNTIFS(I4:I364,Z682,M4:M364,3)</f>
        <v>4</v>
      </c>
      <c r="AC682" s="19">
        <f>COUNTIFS(F4:F364,Z682,B4:B364,1)+COUNTIFS(I4:I364,Z682,M4:M364,1)</f>
        <v>5</v>
      </c>
      <c r="AD682" s="19">
        <f>COUNTIFS(F4:F364,Z682,B4:B364,0)+COUNTIFS(I4:I364,Z682,M4:M364,0)</f>
        <v>14</v>
      </c>
      <c r="AE682" s="19">
        <f>SUMIF(F4:F364,Z682,G4:G364)+SUMIF(I4:I364,Z682,H4:H364)</f>
        <v>25</v>
      </c>
      <c r="AF682" s="19">
        <f>SUMIF(F4:F364,Z682,H4:H364)+SUMIF(I4:I364,Z682,G4:G364)</f>
        <v>53</v>
      </c>
      <c r="AG682" s="19">
        <f t="shared" si="391"/>
        <v>-28</v>
      </c>
      <c r="AH682" s="19">
        <f t="shared" si="392"/>
        <v>17</v>
      </c>
      <c r="AI682" s="19">
        <f t="shared" si="390"/>
        <v>16999.745000000003</v>
      </c>
      <c r="AJ682" s="2"/>
      <c r="AW682" s="7"/>
    </row>
    <row r="683" spans="1:49" x14ac:dyDescent="0.25">
      <c r="A683" s="1"/>
      <c r="B683" s="1"/>
      <c r="C683" s="1"/>
      <c r="D683" s="64"/>
      <c r="E683" s="1"/>
      <c r="G683" s="1"/>
      <c r="H683" s="1"/>
      <c r="K683" s="64"/>
      <c r="L683" s="1"/>
      <c r="M683" s="1"/>
      <c r="N683" s="1"/>
      <c r="O683" s="1"/>
      <c r="P683" s="1"/>
      <c r="Q683" s="1"/>
      <c r="R683" s="1"/>
      <c r="S683" s="1"/>
      <c r="T683" s="1"/>
      <c r="U683" s="1"/>
      <c r="AJ683" s="2"/>
      <c r="AW683" s="7"/>
    </row>
    <row r="684" spans="1:49" x14ac:dyDescent="0.25">
      <c r="A684" s="1"/>
      <c r="B684" s="1"/>
      <c r="C684" s="1"/>
      <c r="D684" s="64"/>
      <c r="E684" s="1"/>
      <c r="G684" s="1"/>
      <c r="H684" s="1"/>
      <c r="K684" s="64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6"/>
      <c r="W684" s="53">
        <v>34</v>
      </c>
      <c r="X684" s="7"/>
      <c r="Y684" s="19"/>
      <c r="Z684" s="19" t="s">
        <v>1</v>
      </c>
      <c r="AA684" s="19" t="s">
        <v>2</v>
      </c>
      <c r="AB684" s="19" t="s">
        <v>3</v>
      </c>
      <c r="AC684" s="19" t="s">
        <v>4</v>
      </c>
      <c r="AD684" s="19" t="s">
        <v>5</v>
      </c>
      <c r="AE684" s="19" t="s">
        <v>6</v>
      </c>
      <c r="AF684" s="19" t="s">
        <v>7</v>
      </c>
      <c r="AG684" s="19" t="s">
        <v>8</v>
      </c>
      <c r="AH684" s="19" t="s">
        <v>9</v>
      </c>
      <c r="AI684" s="19" t="s">
        <v>0</v>
      </c>
      <c r="AJ684" s="2"/>
      <c r="AW684" s="7"/>
    </row>
    <row r="685" spans="1:49" x14ac:dyDescent="0.25">
      <c r="A685" s="1"/>
      <c r="B685" s="1"/>
      <c r="C685" s="1"/>
      <c r="D685" s="64"/>
      <c r="E685" s="1"/>
      <c r="G685" s="1"/>
      <c r="H685" s="1"/>
      <c r="K685" s="64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6" t="str">
        <f>CONCATENATE(Z685)</f>
        <v>1. FC Köln</v>
      </c>
      <c r="W685" s="6" t="str">
        <f>CONCATENATE(Y685)</f>
        <v>11</v>
      </c>
      <c r="X685" s="7"/>
      <c r="Y685" s="19">
        <f>RANK(AI685,$AI$685:$AI$702,0)+COUNTIF($AI$684:AI684,AI685)</f>
        <v>11</v>
      </c>
      <c r="Z685" s="19" t="str">
        <f>CONCATENATE(EQUIPES!F6)</f>
        <v>1. FC Köln</v>
      </c>
      <c r="AA685" s="19">
        <f>COUNTIFS(F4:F375,Z685,G4:G375,"&gt;=0")+COUNTIFS(I4:I375,Z685,H4:H375,"&gt;=0")</f>
        <v>23</v>
      </c>
      <c r="AB685" s="19">
        <f>COUNTIFS(F4:F375,Z685,B4:B375,3)+COUNTIFS(I4:I375,Z685,M4:M375,3)</f>
        <v>9</v>
      </c>
      <c r="AC685" s="19">
        <f>COUNTIFS(F4:F375,Z685,B4:B375,1)+COUNTIFS(I4:I375,Z685,M4:M375,1)</f>
        <v>2</v>
      </c>
      <c r="AD685" s="19">
        <f>COUNTIFS(F4:F375,Z685,B4:B375,0)+COUNTIFS(I4:I375,Z685,M4:M375,0)</f>
        <v>12</v>
      </c>
      <c r="AE685" s="19">
        <f>SUMIF(F4:F375,Z685,G4:G375)+SUMIF(I4:I375,Z685,H4:H375)</f>
        <v>36</v>
      </c>
      <c r="AF685" s="19">
        <f>SUMIF(F4:F375,Z685,H4:H375)+SUMIF(I4:I375,Z685,G4:G375)</f>
        <v>42</v>
      </c>
      <c r="AG685" s="19">
        <f>+AE685-AF685</f>
        <v>-6</v>
      </c>
      <c r="AH685" s="19">
        <f>(AB685*3)+AC685</f>
        <v>29</v>
      </c>
      <c r="AI685" s="19">
        <f>SUM(AH685*1000+(AG685)/100+(AE685)/1000)</f>
        <v>28999.975999999999</v>
      </c>
      <c r="AJ685" s="2"/>
      <c r="AW685" s="7"/>
    </row>
    <row r="686" spans="1:49" x14ac:dyDescent="0.25">
      <c r="A686" s="1"/>
      <c r="B686" s="1"/>
      <c r="C686" s="1"/>
      <c r="D686" s="64"/>
      <c r="E686" s="1"/>
      <c r="G686" s="1"/>
      <c r="H686" s="1"/>
      <c r="K686" s="64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52" t="str">
        <f t="shared" ref="V686:V702" si="393">CONCATENATE(Z686)</f>
        <v>1. FC Union Berlin</v>
      </c>
      <c r="W686" s="52" t="str">
        <f t="shared" ref="W686:W702" si="394">CONCATENATE(Y686)</f>
        <v>10</v>
      </c>
      <c r="X686" s="7"/>
      <c r="Y686" s="19">
        <f>RANK(AI686,$AI$685:$AI$702,0)+COUNTIF($AI$684:AI685,AI686)</f>
        <v>10</v>
      </c>
      <c r="Z686" s="19" t="str">
        <f>CONCATENATE(EQUIPES!F7)</f>
        <v>1. FC Union Berlin</v>
      </c>
      <c r="AA686" s="19">
        <f>COUNTIFS(F4:F375,Z686,G4:G375,"&gt;=0")+COUNTIFS(I4:I375,Z686,H4:H375,"&gt;=0")</f>
        <v>24</v>
      </c>
      <c r="AB686" s="19">
        <f>COUNTIFS(F4:F375,Z686,B4:B375,3)+COUNTIFS(I4:I375,Z686,M4:M375,3)</f>
        <v>9</v>
      </c>
      <c r="AC686" s="19">
        <f>COUNTIFS(F4:F375,Z686,B4:B375,1)+COUNTIFS(I4:I375,Z686,M4:M375,1)</f>
        <v>3</v>
      </c>
      <c r="AD686" s="19">
        <f>COUNTIFS(F4:F375,Z686,B4:B375,0)+COUNTIFS(I4:I375,Z686,M4:M375,0)</f>
        <v>12</v>
      </c>
      <c r="AE686" s="19">
        <f>SUMIF(F4:F375,Z686,G4:G375)+SUMIF(I4:I375,Z686,H4:H375)</f>
        <v>31</v>
      </c>
      <c r="AF686" s="19">
        <f>SUMIF(F4:F375,Z686,H4:H375)+SUMIF(I4:I375,Z686,G4:G375)</f>
        <v>38</v>
      </c>
      <c r="AG686" s="19">
        <f t="shared" ref="AG686:AG702" si="395">+AE686-AF686</f>
        <v>-7</v>
      </c>
      <c r="AH686" s="19">
        <f t="shared" ref="AH686:AH702" si="396">(AB686*3)+AC686</f>
        <v>30</v>
      </c>
      <c r="AI686" s="19">
        <f t="shared" ref="AI686:AI702" si="397">SUM(AH686*1000+(AG686)/100+(AE686)/1000)</f>
        <v>29999.960999999999</v>
      </c>
      <c r="AW686" s="7"/>
    </row>
    <row r="687" spans="1:49" x14ac:dyDescent="0.25">
      <c r="A687" s="1"/>
      <c r="B687" s="1"/>
      <c r="C687" s="1"/>
      <c r="D687" s="64"/>
      <c r="E687" s="1"/>
      <c r="G687" s="1"/>
      <c r="H687" s="1"/>
      <c r="K687" s="64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52" t="str">
        <f t="shared" si="393"/>
        <v>1. FSV Mainz 05</v>
      </c>
      <c r="W687" s="52" t="str">
        <f t="shared" si="394"/>
        <v>15</v>
      </c>
      <c r="X687" s="7"/>
      <c r="Y687" s="19">
        <f>RANK(AI687,$AI$685:$AI$702,0)+COUNTIF($AI$684:AI686,AI687)</f>
        <v>15</v>
      </c>
      <c r="Z687" s="19" t="str">
        <f>CONCATENATE(EQUIPES!F8)</f>
        <v>1. FSV Mainz 05</v>
      </c>
      <c r="AA687" s="19">
        <f>COUNTIFS(F4:F375,Z687,G4:G375,"&gt;=0")+COUNTIFS(I4:I375,Z687,H4:H375,"&gt;=0")</f>
        <v>24</v>
      </c>
      <c r="AB687" s="19">
        <f>COUNTIFS(F4:F375,Z687,B4:B375,3)+COUNTIFS(I4:I375,Z687,M4:M375,3)</f>
        <v>8</v>
      </c>
      <c r="AC687" s="19">
        <f>COUNTIFS(F4:F375,Z687,B4:B375,1)+COUNTIFS(I4:I375,Z687,M4:M375,1)</f>
        <v>1</v>
      </c>
      <c r="AD687" s="19">
        <f>COUNTIFS(F4:F375,Z687,B4:B375,0)+COUNTIFS(I4:I375,Z687,M4:M375,0)</f>
        <v>15</v>
      </c>
      <c r="AE687" s="19">
        <f>SUMIF(F4:F375,Z687,G4:G375)+SUMIF(I4:I375,Z687,H4:H375)</f>
        <v>33</v>
      </c>
      <c r="AF687" s="19">
        <f>SUMIF(F4:F375,Z687,H4:H375)+SUMIF(I4:I375,Z687,G4:G375)</f>
        <v>52</v>
      </c>
      <c r="AG687" s="19">
        <f t="shared" si="395"/>
        <v>-19</v>
      </c>
      <c r="AH687" s="19">
        <f t="shared" si="396"/>
        <v>25</v>
      </c>
      <c r="AI687" s="19">
        <f t="shared" si="397"/>
        <v>24999.843000000001</v>
      </c>
      <c r="AJ687" s="2"/>
      <c r="AW687" s="7"/>
    </row>
    <row r="688" spans="1:49" x14ac:dyDescent="0.25">
      <c r="A688" s="1"/>
      <c r="B688" s="1"/>
      <c r="C688" s="1"/>
      <c r="D688" s="64"/>
      <c r="E688" s="1"/>
      <c r="G688" s="1"/>
      <c r="H688" s="1"/>
      <c r="K688" s="64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52" t="str">
        <f t="shared" si="393"/>
        <v>1899 Hoffenheim</v>
      </c>
      <c r="W688" s="52" t="str">
        <f t="shared" si="394"/>
        <v>8</v>
      </c>
      <c r="X688" s="7"/>
      <c r="Y688" s="19">
        <f>RANK(AI688,$AI$685:$AI$702,0)+COUNTIF($AI$684:AI687,AI688)</f>
        <v>8</v>
      </c>
      <c r="Z688" s="19" t="str">
        <f>CONCATENATE(EQUIPES!F9)</f>
        <v>1899 Hoffenheim</v>
      </c>
      <c r="AA688" s="19">
        <f>COUNTIFS(F4:F375,Z688,G4:G375,"&gt;=0")+COUNTIFS(I4:I375,Z688,H4:H375,"&gt;=0")</f>
        <v>24</v>
      </c>
      <c r="AB688" s="19">
        <f>COUNTIFS(F4:F375,Z688,B4:B375,3)+COUNTIFS(I4:I375,Z688,M4:M375,3)</f>
        <v>10</v>
      </c>
      <c r="AC688" s="19">
        <f>COUNTIFS(F4:F375,Z688,B4:B375,1)+COUNTIFS(I4:I375,Z688,M4:M375,1)</f>
        <v>4</v>
      </c>
      <c r="AD688" s="19">
        <f>COUNTIFS(F4:F375,Z688,B4:B375,0)+COUNTIFS(I4:I375,Z688,M4:M375,0)</f>
        <v>10</v>
      </c>
      <c r="AE688" s="19">
        <f>SUMIF(F4:F375,Z688,G4:G375)+SUMIF(I4:I375,Z688,H4:H375)</f>
        <v>34</v>
      </c>
      <c r="AF688" s="19">
        <f>SUMIF(F4:F375,Z688,H4:H375)+SUMIF(I4:I375,Z688,G4:G375)</f>
        <v>42</v>
      </c>
      <c r="AG688" s="19">
        <f t="shared" si="395"/>
        <v>-8</v>
      </c>
      <c r="AH688" s="19">
        <f t="shared" si="396"/>
        <v>34</v>
      </c>
      <c r="AI688" s="19">
        <f t="shared" si="397"/>
        <v>33999.953999999998</v>
      </c>
      <c r="AJ688" s="2"/>
      <c r="AW688" s="7"/>
    </row>
    <row r="689" spans="1:49" x14ac:dyDescent="0.25">
      <c r="A689" s="1"/>
      <c r="B689" s="1"/>
      <c r="C689" s="1"/>
      <c r="D689" s="64"/>
      <c r="E689" s="1"/>
      <c r="G689" s="1"/>
      <c r="H689" s="1"/>
      <c r="K689" s="64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52" t="str">
        <f t="shared" si="393"/>
        <v>Bayer Leverkusen</v>
      </c>
      <c r="W689" s="52" t="str">
        <f t="shared" si="394"/>
        <v>5</v>
      </c>
      <c r="X689" s="7"/>
      <c r="Y689" s="19">
        <f>RANK(AI689,$AI$685:$AI$702,0)+COUNTIF($AI$684:AI688,AI689)</f>
        <v>5</v>
      </c>
      <c r="Z689" s="19" t="str">
        <f>CONCATENATE(EQUIPES!F10)</f>
        <v>Bayer Leverkusen</v>
      </c>
      <c r="AA689" s="19">
        <f>COUNTIFS(F4:F375,Z689,G4:G375,"&gt;=0")+COUNTIFS(I4:I375,Z689,H4:H375,"&gt;=0")</f>
        <v>24</v>
      </c>
      <c r="AB689" s="19">
        <f>COUNTIFS(F4:F375,Z689,B4:B375,3)+COUNTIFS(I4:I375,Z689,M4:M375,3)</f>
        <v>13</v>
      </c>
      <c r="AC689" s="19">
        <f>COUNTIFS(F4:F375,Z689,B4:B375,1)+COUNTIFS(I4:I375,Z689,M4:M375,1)</f>
        <v>5</v>
      </c>
      <c r="AD689" s="19">
        <f>COUNTIFS(F4:F375,Z689,B4:B375,0)+COUNTIFS(I4:I375,Z689,M4:M375,0)</f>
        <v>6</v>
      </c>
      <c r="AE689" s="19">
        <f>SUMIF(F4:F375,Z689,G4:G375)+SUMIF(I4:I375,Z689,H4:H375)</f>
        <v>41</v>
      </c>
      <c r="AF689" s="19">
        <f>SUMIF(F4:F375,Z689,H4:H375)+SUMIF(I4:I375,Z689,G4:G375)</f>
        <v>30</v>
      </c>
      <c r="AG689" s="19">
        <f t="shared" si="395"/>
        <v>11</v>
      </c>
      <c r="AH689" s="19">
        <f t="shared" si="396"/>
        <v>44</v>
      </c>
      <c r="AI689" s="19">
        <f t="shared" si="397"/>
        <v>44000.150999999998</v>
      </c>
      <c r="AJ689" s="2"/>
      <c r="AW689" s="7"/>
    </row>
    <row r="690" spans="1:49" x14ac:dyDescent="0.25">
      <c r="A690" s="1"/>
      <c r="B690" s="1"/>
      <c r="C690" s="1"/>
      <c r="D690" s="64"/>
      <c r="E690" s="1"/>
      <c r="G690" s="1"/>
      <c r="H690" s="1"/>
      <c r="K690" s="64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52" t="str">
        <f t="shared" si="393"/>
        <v>Bayern München</v>
      </c>
      <c r="W690" s="52" t="str">
        <f t="shared" si="394"/>
        <v>1</v>
      </c>
      <c r="X690" s="7"/>
      <c r="Y690" s="19">
        <f>RANK(AI690,$AI$685:$AI$702,0)+COUNTIF($AI$684:AI689,AI690)</f>
        <v>1</v>
      </c>
      <c r="Z690" s="19" t="str">
        <f>CONCATENATE(EQUIPES!F11)</f>
        <v>Bayern München</v>
      </c>
      <c r="AA690" s="19">
        <f>COUNTIFS(F4:F375,Z690,G4:G375,"&gt;=0")+COUNTIFS(I4:I375,Z690,H4:H375,"&gt;=0")</f>
        <v>24</v>
      </c>
      <c r="AB690" s="19">
        <f>COUNTIFS(F4:F375,Z690,B4:B375,3)+COUNTIFS(I4:I375,Z690,M4:M375,3)</f>
        <v>16</v>
      </c>
      <c r="AC690" s="19">
        <f>COUNTIFS(F4:F375,Z690,B4:B375,1)+COUNTIFS(I4:I375,Z690,M4:M375,1)</f>
        <v>4</v>
      </c>
      <c r="AD690" s="19">
        <f>COUNTIFS(F4:F375,Z690,B4:B375,0)+COUNTIFS(I4:I375,Z690,M4:M375,0)</f>
        <v>4</v>
      </c>
      <c r="AE690" s="19">
        <f>SUMIF(F4:F375,Z690,G4:G375)+SUMIF(I4:I375,Z690,H4:H375)</f>
        <v>71</v>
      </c>
      <c r="AF690" s="19">
        <f>SUMIF(F4:F375,Z690,H4:H375)+SUMIF(I4:I375,Z690,G4:G375)</f>
        <v>26</v>
      </c>
      <c r="AG690" s="19">
        <f t="shared" si="395"/>
        <v>45</v>
      </c>
      <c r="AH690" s="19">
        <f t="shared" si="396"/>
        <v>52</v>
      </c>
      <c r="AI690" s="19">
        <f t="shared" si="397"/>
        <v>52000.521000000001</v>
      </c>
      <c r="AJ690" s="2"/>
      <c r="AW690" s="7"/>
    </row>
    <row r="691" spans="1:49" x14ac:dyDescent="0.25">
      <c r="A691" s="1"/>
      <c r="B691" s="1"/>
      <c r="C691" s="1"/>
      <c r="D691" s="64"/>
      <c r="E691" s="1"/>
      <c r="G691" s="1"/>
      <c r="H691" s="1"/>
      <c r="K691" s="64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52" t="str">
        <f t="shared" si="393"/>
        <v>Bor. Mönchengladbach</v>
      </c>
      <c r="W691" s="52" t="str">
        <f t="shared" si="394"/>
        <v>4</v>
      </c>
      <c r="X691" s="7"/>
      <c r="Y691" s="19">
        <f>RANK(AI691,$AI$685:$AI$702,0)+COUNTIF($AI$684:AI690,AI691)</f>
        <v>4</v>
      </c>
      <c r="Z691" s="19" t="str">
        <f>CONCATENATE(EQUIPES!F12)</f>
        <v>Bor. Mönchengladbach</v>
      </c>
      <c r="AA691" s="19">
        <f>COUNTIFS(F4:F375,Z691,G4:G375,"&gt;=0")+COUNTIFS(I4:I375,Z691,H4:H375,"&gt;=0")</f>
        <v>23</v>
      </c>
      <c r="AB691" s="19">
        <f>COUNTIFS(F4:F375,Z691,B4:B375,3)+COUNTIFS(I4:I375,Z691,M4:M375,3)</f>
        <v>14</v>
      </c>
      <c r="AC691" s="19">
        <f>COUNTIFS(F4:F375,Z691,B4:B375,1)+COUNTIFS(I4:I375,Z691,M4:M375,1)</f>
        <v>4</v>
      </c>
      <c r="AD691" s="19">
        <f>COUNTIFS(F4:F375,Z691,B4:B375,0)+COUNTIFS(I4:I375,Z691,M4:M375,0)</f>
        <v>5</v>
      </c>
      <c r="AE691" s="19">
        <f>SUMIF(F4:F375,Z691,G4:G375)+SUMIF(I4:I375,Z691,H4:H375)</f>
        <v>46</v>
      </c>
      <c r="AF691" s="19">
        <f>SUMIF(F4:F375,Z691,H4:H375)+SUMIF(I4:I375,Z691,G4:G375)</f>
        <v>27</v>
      </c>
      <c r="AG691" s="19">
        <f t="shared" si="395"/>
        <v>19</v>
      </c>
      <c r="AH691" s="19">
        <f t="shared" si="396"/>
        <v>46</v>
      </c>
      <c r="AI691" s="19">
        <f t="shared" si="397"/>
        <v>46000.236000000004</v>
      </c>
      <c r="AJ691" s="2"/>
      <c r="AW691" s="7"/>
    </row>
    <row r="692" spans="1:49" x14ac:dyDescent="0.25">
      <c r="A692" s="1"/>
      <c r="B692" s="1"/>
      <c r="C692" s="1"/>
      <c r="D692" s="64"/>
      <c r="E692" s="1"/>
      <c r="G692" s="1"/>
      <c r="H692" s="1"/>
      <c r="K692" s="64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52" t="str">
        <f t="shared" si="393"/>
        <v>Borussia Dortmund</v>
      </c>
      <c r="W692" s="52" t="str">
        <f t="shared" si="394"/>
        <v>3</v>
      </c>
      <c r="X692" s="7"/>
      <c r="Y692" s="19">
        <f>RANK(AI692,$AI$685:$AI$702,0)+COUNTIF($AI$684:AI691,AI692)</f>
        <v>3</v>
      </c>
      <c r="Z692" s="19" t="str">
        <f>CONCATENATE(EQUIPES!F13)</f>
        <v>Borussia Dortmund</v>
      </c>
      <c r="AA692" s="19">
        <f>COUNTIFS(F4:F375,Z692,G4:G375,"&gt;=0")+COUNTIFS(I4:I375,Z692,H4:H375,"&gt;=0")</f>
        <v>24</v>
      </c>
      <c r="AB692" s="19">
        <f>COUNTIFS(F4:F375,Z692,B4:B375,3)+COUNTIFS(I4:I375,Z692,M4:M375,3)</f>
        <v>14</v>
      </c>
      <c r="AC692" s="19">
        <f>COUNTIFS(F4:F375,Z692,B4:B375,1)+COUNTIFS(I4:I375,Z692,M4:M375,1)</f>
        <v>6</v>
      </c>
      <c r="AD692" s="19">
        <f>COUNTIFS(F4:F375,Z692,B4:B375,0)+COUNTIFS(I4:I375,Z692,M4:M375,0)</f>
        <v>4</v>
      </c>
      <c r="AE692" s="19">
        <f>SUMIF(F4:F375,Z692,G4:G375)+SUMIF(I4:I375,Z692,H4:H375)</f>
        <v>66</v>
      </c>
      <c r="AF692" s="19">
        <f>SUMIF(F4:F375,Z692,H4:H375)+SUMIF(I4:I375,Z692,G4:G375)</f>
        <v>32</v>
      </c>
      <c r="AG692" s="19">
        <f t="shared" si="395"/>
        <v>34</v>
      </c>
      <c r="AH692" s="19">
        <f t="shared" si="396"/>
        <v>48</v>
      </c>
      <c r="AI692" s="19">
        <f t="shared" si="397"/>
        <v>48000.405999999995</v>
      </c>
      <c r="AJ692" s="2"/>
      <c r="AW692" s="7"/>
    </row>
    <row r="693" spans="1:49" x14ac:dyDescent="0.25">
      <c r="A693" s="1"/>
      <c r="B693" s="1"/>
      <c r="C693" s="1"/>
      <c r="D693" s="64"/>
      <c r="E693" s="1"/>
      <c r="G693" s="1"/>
      <c r="H693" s="1"/>
      <c r="K693" s="64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52" t="str">
        <f t="shared" si="393"/>
        <v>Eintracht Frankfurt</v>
      </c>
      <c r="W693" s="52" t="str">
        <f t="shared" si="394"/>
        <v>12</v>
      </c>
      <c r="X693" s="7"/>
      <c r="Y693" s="19">
        <f>RANK(AI693,$AI$685:$AI$702,0)+COUNTIF($AI$684:AI692,AI693)</f>
        <v>12</v>
      </c>
      <c r="Z693" s="19" t="str">
        <f>CONCATENATE(EQUIPES!F14)</f>
        <v>Eintracht Frankfurt</v>
      </c>
      <c r="AA693" s="19">
        <f>COUNTIFS(F4:F375,Z693,G4:G375,"&gt;=0")+COUNTIFS(I4:I375,Z693,H4:H375,"&gt;=0")</f>
        <v>23</v>
      </c>
      <c r="AB693" s="19">
        <f>COUNTIFS(F4:F375,Z693,B4:B375,3)+COUNTIFS(I4:I375,Z693,M4:M375,3)</f>
        <v>8</v>
      </c>
      <c r="AC693" s="19">
        <f>COUNTIFS(F4:F375,Z693,B4:B375,1)+COUNTIFS(I4:I375,Z693,M4:M375,1)</f>
        <v>4</v>
      </c>
      <c r="AD693" s="19">
        <f>COUNTIFS(F4:F375,Z693,B4:B375,0)+COUNTIFS(I4:I375,Z693,M4:M375,0)</f>
        <v>11</v>
      </c>
      <c r="AE693" s="19">
        <f>SUMIF(F4:F375,Z693,G4:G375)+SUMIF(I4:I375,Z693,H4:H375)</f>
        <v>38</v>
      </c>
      <c r="AF693" s="19">
        <f>SUMIF(F4:F375,Z693,H4:H375)+SUMIF(I4:I375,Z693,G4:G375)</f>
        <v>37</v>
      </c>
      <c r="AG693" s="19">
        <f t="shared" si="395"/>
        <v>1</v>
      </c>
      <c r="AH693" s="19">
        <f t="shared" si="396"/>
        <v>28</v>
      </c>
      <c r="AI693" s="19">
        <f t="shared" si="397"/>
        <v>28000.047999999999</v>
      </c>
      <c r="AJ693" s="2"/>
      <c r="AW693" s="7"/>
    </row>
    <row r="694" spans="1:49" x14ac:dyDescent="0.25">
      <c r="A694" s="1"/>
      <c r="B694" s="1"/>
      <c r="C694" s="1"/>
      <c r="D694" s="64"/>
      <c r="E694" s="1"/>
      <c r="G694" s="1"/>
      <c r="H694" s="1"/>
      <c r="K694" s="64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52" t="str">
        <f t="shared" si="393"/>
        <v>FC Augsburg</v>
      </c>
      <c r="W694" s="52" t="str">
        <f t="shared" si="394"/>
        <v>13</v>
      </c>
      <c r="X694" s="7"/>
      <c r="Y694" s="19">
        <f>RANK(AI694,$AI$685:$AI$702,0)+COUNTIF($AI$684:AI693,AI694)</f>
        <v>13</v>
      </c>
      <c r="Z694" s="19" t="str">
        <f>CONCATENATE(EQUIPES!F15)</f>
        <v>FC Augsburg</v>
      </c>
      <c r="AA694" s="19">
        <f>COUNTIFS(F4:F375,Z694,G4:G375,"&gt;=0")+COUNTIFS(I4:I375,Z694,H4:H375,"&gt;=0")</f>
        <v>24</v>
      </c>
      <c r="AB694" s="19">
        <f>COUNTIFS(F4:F375,Z694,B4:B375,3)+COUNTIFS(I4:I375,Z694,M4:M375,3)</f>
        <v>7</v>
      </c>
      <c r="AC694" s="19">
        <f>COUNTIFS(F4:F375,Z694,B4:B375,1)+COUNTIFS(I4:I375,Z694,M4:M375,1)</f>
        <v>6</v>
      </c>
      <c r="AD694" s="19">
        <f>COUNTIFS(F4:F375,Z694,B4:B375,0)+COUNTIFS(I4:I375,Z694,M4:M375,0)</f>
        <v>11</v>
      </c>
      <c r="AE694" s="19">
        <f>SUMIF(F4:F375,Z694,G4:G375)+SUMIF(I4:I375,Z694,H4:H375)</f>
        <v>36</v>
      </c>
      <c r="AF694" s="19">
        <f>SUMIF(F4:F375,Z694,H4:H375)+SUMIF(I4:I375,Z694,G4:G375)</f>
        <v>50</v>
      </c>
      <c r="AG694" s="19">
        <f t="shared" si="395"/>
        <v>-14</v>
      </c>
      <c r="AH694" s="19">
        <f t="shared" si="396"/>
        <v>27</v>
      </c>
      <c r="AI694" s="19">
        <f t="shared" si="397"/>
        <v>26999.896000000001</v>
      </c>
      <c r="AJ694" s="2"/>
      <c r="AW694" s="7"/>
    </row>
    <row r="695" spans="1:49" x14ac:dyDescent="0.25">
      <c r="A695" s="1"/>
      <c r="B695" s="1"/>
      <c r="C695" s="1"/>
      <c r="D695" s="64"/>
      <c r="E695" s="1"/>
      <c r="G695" s="1"/>
      <c r="H695" s="1"/>
      <c r="K695" s="64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52" t="str">
        <f t="shared" si="393"/>
        <v>FC Schalke 04</v>
      </c>
      <c r="W695" s="52" t="str">
        <f t="shared" si="394"/>
        <v>6</v>
      </c>
      <c r="X695" s="7"/>
      <c r="Y695" s="19">
        <f>RANK(AI695,$AI$685:$AI$702,0)+COUNTIF($AI$684:AI694,AI695)</f>
        <v>6</v>
      </c>
      <c r="Z695" s="19" t="str">
        <f>CONCATENATE(EQUIPES!F16)</f>
        <v>FC Schalke 04</v>
      </c>
      <c r="AA695" s="19">
        <f>COUNTIFS(F4:F375,Z695,G4:G375,"&gt;=0")+COUNTIFS(I4:I375,Z695,H4:H375,"&gt;=0")</f>
        <v>24</v>
      </c>
      <c r="AB695" s="19">
        <f>COUNTIFS(F4:F375,Z695,B4:B375,3)+COUNTIFS(I4:I375,Z695,M4:M375,3)</f>
        <v>9</v>
      </c>
      <c r="AC695" s="19">
        <f>COUNTIFS(F4:F375,Z695,B4:B375,1)+COUNTIFS(I4:I375,Z695,M4:M375,1)</f>
        <v>9</v>
      </c>
      <c r="AD695" s="19">
        <f>COUNTIFS(F4:F375,Z695,B4:B375,0)+COUNTIFS(I4:I375,Z695,M4:M375,0)</f>
        <v>6</v>
      </c>
      <c r="AE695" s="19">
        <f>SUMIF(F4:F375,Z695,G4:G375)+SUMIF(I4:I375,Z695,H4:H375)</f>
        <v>32</v>
      </c>
      <c r="AF695" s="19">
        <f>SUMIF(F4:F375,Z695,H4:H375)+SUMIF(I4:I375,Z695,G4:G375)</f>
        <v>35</v>
      </c>
      <c r="AG695" s="19">
        <f t="shared" si="395"/>
        <v>-3</v>
      </c>
      <c r="AH695" s="19">
        <f t="shared" si="396"/>
        <v>36</v>
      </c>
      <c r="AI695" s="19">
        <f t="shared" si="397"/>
        <v>36000.002</v>
      </c>
      <c r="AJ695" s="2"/>
      <c r="AW695" s="7"/>
    </row>
    <row r="696" spans="1:49" x14ac:dyDescent="0.25">
      <c r="A696" s="1"/>
      <c r="B696" s="1"/>
      <c r="C696" s="1"/>
      <c r="D696" s="64"/>
      <c r="E696" s="1"/>
      <c r="G696" s="1"/>
      <c r="H696" s="1"/>
      <c r="K696" s="64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52" t="str">
        <f t="shared" si="393"/>
        <v>Fortuna Düsseldorf</v>
      </c>
      <c r="W696" s="52" t="str">
        <f t="shared" si="394"/>
        <v>16</v>
      </c>
      <c r="X696" s="7"/>
      <c r="Y696" s="19">
        <f>RANK(AI696,$AI$685:$AI$702,0)+COUNTIF($AI$684:AI695,AI696)</f>
        <v>16</v>
      </c>
      <c r="Z696" s="19" t="str">
        <f>CONCATENATE(EQUIPES!F17)</f>
        <v>Fortuna Düsseldorf</v>
      </c>
      <c r="AA696" s="19">
        <f>COUNTIFS(F4:F375,Z696,G4:G375,"&gt;=0")+COUNTIFS(I4:I375,Z696,H4:H375,"&gt;=0")</f>
        <v>24</v>
      </c>
      <c r="AB696" s="19">
        <f>COUNTIFS(F4:F375,Z696,B4:B375,3)+COUNTIFS(I4:I375,Z696,M4:M375,3)</f>
        <v>5</v>
      </c>
      <c r="AC696" s="19">
        <f>COUNTIFS(F4:F375,Z696,B4:B375,1)+COUNTIFS(I4:I375,Z696,M4:M375,1)</f>
        <v>6</v>
      </c>
      <c r="AD696" s="19">
        <f>COUNTIFS(F4:F375,Z696,B4:B375,0)+COUNTIFS(I4:I375,Z696,M4:M375,0)</f>
        <v>13</v>
      </c>
      <c r="AE696" s="19">
        <f>SUMIF(F4:F375,Z696,G4:G375)+SUMIF(I4:I375,Z696,H4:H375)</f>
        <v>26</v>
      </c>
      <c r="AF696" s="19">
        <f>SUMIF(F4:F375,Z696,H4:H375)+SUMIF(I4:I375,Z696,G4:G375)</f>
        <v>49</v>
      </c>
      <c r="AG696" s="19">
        <f t="shared" si="395"/>
        <v>-23</v>
      </c>
      <c r="AH696" s="19">
        <f t="shared" si="396"/>
        <v>21</v>
      </c>
      <c r="AI696" s="19">
        <f t="shared" si="397"/>
        <v>20999.796000000002</v>
      </c>
      <c r="AJ696" s="2"/>
      <c r="AW696" s="7"/>
    </row>
    <row r="697" spans="1:49" x14ac:dyDescent="0.25">
      <c r="A697" s="1"/>
      <c r="B697" s="1"/>
      <c r="C697" s="1"/>
      <c r="D697" s="64"/>
      <c r="E697" s="1"/>
      <c r="G697" s="1"/>
      <c r="H697" s="1"/>
      <c r="K697" s="64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52" t="str">
        <f t="shared" si="393"/>
        <v>Hertha BSC</v>
      </c>
      <c r="W697" s="52" t="str">
        <f t="shared" si="394"/>
        <v>14</v>
      </c>
      <c r="X697" s="7"/>
      <c r="Y697" s="19">
        <f>RANK(AI697,$AI$685:$AI$702,0)+COUNTIF($AI$684:AI696,AI697)</f>
        <v>14</v>
      </c>
      <c r="Z697" s="19" t="str">
        <f>CONCATENATE(EQUIPES!F18)</f>
        <v>Hertha BSC</v>
      </c>
      <c r="AA697" s="19">
        <f>COUNTIFS(F4:F375,Z697,G4:G375,"&gt;=0")+COUNTIFS(I4:I375,Z697,H4:H375,"&gt;=0")</f>
        <v>24</v>
      </c>
      <c r="AB697" s="19">
        <f>COUNTIFS(F4:F375,Z697,B4:B375,3)+COUNTIFS(I4:I375,Z697,M4:M375,3)</f>
        <v>7</v>
      </c>
      <c r="AC697" s="19">
        <f>COUNTIFS(F4:F375,Z697,B4:B375,1)+COUNTIFS(I4:I375,Z697,M4:M375,1)</f>
        <v>6</v>
      </c>
      <c r="AD697" s="19">
        <f>COUNTIFS(F4:F375,Z697,B4:B375,0)+COUNTIFS(I4:I375,Z697,M4:M375,0)</f>
        <v>11</v>
      </c>
      <c r="AE697" s="19">
        <f>SUMIF(F4:F375,Z697,G4:G375)+SUMIF(I4:I375,Z697,H4:H375)</f>
        <v>30</v>
      </c>
      <c r="AF697" s="19">
        <f>SUMIF(F4:F375,Z697,H4:H375)+SUMIF(I4:I375,Z697,G4:G375)</f>
        <v>46</v>
      </c>
      <c r="AG697" s="19">
        <f t="shared" si="395"/>
        <v>-16</v>
      </c>
      <c r="AH697" s="19">
        <f t="shared" si="396"/>
        <v>27</v>
      </c>
      <c r="AI697" s="19">
        <f t="shared" si="397"/>
        <v>26999.87</v>
      </c>
      <c r="AJ697" s="2"/>
      <c r="AW697" s="7"/>
    </row>
    <row r="698" spans="1:49" x14ac:dyDescent="0.25">
      <c r="A698" s="1"/>
      <c r="B698" s="1"/>
      <c r="C698" s="1"/>
      <c r="D698" s="64"/>
      <c r="E698" s="1"/>
      <c r="G698" s="1"/>
      <c r="H698" s="1"/>
      <c r="K698" s="64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52" t="str">
        <f t="shared" si="393"/>
        <v>RB Leipzig</v>
      </c>
      <c r="W698" s="52" t="str">
        <f t="shared" si="394"/>
        <v>2</v>
      </c>
      <c r="X698" s="7"/>
      <c r="Y698" s="19">
        <f>RANK(AI698,$AI$685:$AI$702,0)+COUNTIF($AI$684:AI697,AI698)</f>
        <v>2</v>
      </c>
      <c r="Z698" s="19" t="str">
        <f>CONCATENATE(EQUIPES!F19)</f>
        <v>RB Leipzig</v>
      </c>
      <c r="AA698" s="19">
        <f>COUNTIFS(F4:F375,Z698,G4:G375,"&gt;=0")+COUNTIFS(I4:I375,Z698,H4:H375,"&gt;=0")</f>
        <v>24</v>
      </c>
      <c r="AB698" s="19">
        <f>COUNTIFS(F4:F375,Z698,B4:B375,3)+COUNTIFS(I4:I375,Z698,M4:M375,3)</f>
        <v>14</v>
      </c>
      <c r="AC698" s="19">
        <f>COUNTIFS(F4:F375,Z698,B4:B375,1)+COUNTIFS(I4:I375,Z698,M4:M375,1)</f>
        <v>7</v>
      </c>
      <c r="AD698" s="19">
        <f>COUNTIFS(F4:F375,Z698,B4:B375,0)+COUNTIFS(I4:I375,Z698,M4:M375,0)</f>
        <v>3</v>
      </c>
      <c r="AE698" s="19">
        <f>SUMIF(F4:F375,Z698,G4:G375)+SUMIF(I4:I375,Z698,H4:H375)</f>
        <v>62</v>
      </c>
      <c r="AF698" s="19">
        <f>SUMIF(F4:F375,Z698,H4:H375)+SUMIF(I4:I375,Z698,G4:G375)</f>
        <v>26</v>
      </c>
      <c r="AG698" s="19">
        <f t="shared" si="395"/>
        <v>36</v>
      </c>
      <c r="AH698" s="19">
        <f t="shared" si="396"/>
        <v>49</v>
      </c>
      <c r="AI698" s="19">
        <f t="shared" si="397"/>
        <v>49000.421999999999</v>
      </c>
      <c r="AJ698" s="2"/>
      <c r="AW698" s="7"/>
    </row>
    <row r="699" spans="1:49" x14ac:dyDescent="0.25">
      <c r="A699" s="1"/>
      <c r="B699" s="1"/>
      <c r="C699" s="1"/>
      <c r="D699" s="64"/>
      <c r="E699" s="1"/>
      <c r="G699" s="1"/>
      <c r="H699" s="1"/>
      <c r="K699" s="64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52" t="str">
        <f t="shared" si="393"/>
        <v>SC Freiburg</v>
      </c>
      <c r="W699" s="52" t="str">
        <f t="shared" si="394"/>
        <v>9</v>
      </c>
      <c r="X699" s="7"/>
      <c r="Y699" s="19">
        <f>RANK(AI699,$AI$685:$AI$702,0)+COUNTIF($AI$684:AI698,AI699)</f>
        <v>9</v>
      </c>
      <c r="Z699" s="19" t="str">
        <f>CONCATENATE(EQUIPES!F20)</f>
        <v>SC Freiburg</v>
      </c>
      <c r="AA699" s="19">
        <f>COUNTIFS(F4:F375,Z699,G4:G375,"&gt;=0")+COUNTIFS(I4:I375,Z699,H4:H375,"&gt;=0")</f>
        <v>24</v>
      </c>
      <c r="AB699" s="19">
        <f>COUNTIFS(F4:F375,Z699,B4:B375,3)+COUNTIFS(I4:I375,Z699,M4:M375,3)</f>
        <v>9</v>
      </c>
      <c r="AC699" s="19">
        <f>COUNTIFS(F4:F375,Z699,B4:B375,1)+COUNTIFS(I4:I375,Z699,M4:M375,1)</f>
        <v>6</v>
      </c>
      <c r="AD699" s="19">
        <f>COUNTIFS(F4:F375,Z699,B4:B375,0)+COUNTIFS(I4:I375,Z699,M4:M375,0)</f>
        <v>9</v>
      </c>
      <c r="AE699" s="19">
        <f>SUMIF(F4:F375,Z699,G4:G375)+SUMIF(I4:I375,Z699,H4:H375)</f>
        <v>31</v>
      </c>
      <c r="AF699" s="19">
        <f>SUMIF(F4:F375,Z699,H4:H375)+SUMIF(I4:I375,Z699,G4:G375)</f>
        <v>34</v>
      </c>
      <c r="AG699" s="19">
        <f t="shared" si="395"/>
        <v>-3</v>
      </c>
      <c r="AH699" s="19">
        <f t="shared" si="396"/>
        <v>33</v>
      </c>
      <c r="AI699" s="19">
        <f t="shared" si="397"/>
        <v>33000.001000000004</v>
      </c>
      <c r="AJ699" s="2"/>
      <c r="AW699" s="7"/>
    </row>
    <row r="700" spans="1:49" x14ac:dyDescent="0.25">
      <c r="A700" s="1"/>
      <c r="B700" s="1"/>
      <c r="C700" s="1"/>
      <c r="D700" s="64"/>
      <c r="E700" s="1"/>
      <c r="G700" s="1"/>
      <c r="H700" s="1"/>
      <c r="K700" s="64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52" t="str">
        <f t="shared" si="393"/>
        <v>SC Paderborn 07</v>
      </c>
      <c r="W700" s="52" t="str">
        <f t="shared" si="394"/>
        <v>18</v>
      </c>
      <c r="X700" s="7"/>
      <c r="Y700" s="19">
        <f>RANK(AI700,$AI$685:$AI$702,0)+COUNTIF($AI$684:AI699,AI700)</f>
        <v>18</v>
      </c>
      <c r="Z700" s="19" t="str">
        <f>CONCATENATE(EQUIPES!F21)</f>
        <v>SC Paderborn 07</v>
      </c>
      <c r="AA700" s="19">
        <f>COUNTIFS(F4:F375,Z700,G4:G375,"&gt;=0")+COUNTIFS(I4:I375,Z700,H4:H375,"&gt;=0")</f>
        <v>24</v>
      </c>
      <c r="AB700" s="19">
        <f>COUNTIFS(F4:F375,Z700,B4:B375,3)+COUNTIFS(I4:I375,Z700,M4:M375,3)</f>
        <v>4</v>
      </c>
      <c r="AC700" s="19">
        <f>COUNTIFS(F4:F375,Z700,B4:B375,1)+COUNTIFS(I4:I375,Z700,M4:M375,1)</f>
        <v>4</v>
      </c>
      <c r="AD700" s="19">
        <f>COUNTIFS(F4:F375,Z700,B4:B375,0)+COUNTIFS(I4:I375,Z700,M4:M375,0)</f>
        <v>16</v>
      </c>
      <c r="AE700" s="19">
        <f>SUMIF(F4:F375,Z700,G4:G375)+SUMIF(I4:I375,Z700,H4:H375)</f>
        <v>29</v>
      </c>
      <c r="AF700" s="19">
        <f>SUMIF(F4:F375,Z700,H4:H375)+SUMIF(I4:I375,Z700,G4:G375)</f>
        <v>52</v>
      </c>
      <c r="AG700" s="19">
        <f t="shared" si="395"/>
        <v>-23</v>
      </c>
      <c r="AH700" s="19">
        <f t="shared" si="396"/>
        <v>16</v>
      </c>
      <c r="AI700" s="19">
        <f t="shared" si="397"/>
        <v>15999.799000000001</v>
      </c>
      <c r="AJ700" s="2"/>
      <c r="AW700" s="7"/>
    </row>
    <row r="701" spans="1:49" x14ac:dyDescent="0.25">
      <c r="A701" s="1"/>
      <c r="B701" s="1"/>
      <c r="C701" s="1"/>
      <c r="D701" s="64"/>
      <c r="E701" s="1"/>
      <c r="G701" s="1"/>
      <c r="H701" s="1"/>
      <c r="K701" s="64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52" t="str">
        <f t="shared" si="393"/>
        <v>VfL Wolfsburg</v>
      </c>
      <c r="W701" s="52" t="str">
        <f t="shared" si="394"/>
        <v>7</v>
      </c>
      <c r="X701" s="7"/>
      <c r="Y701" s="19">
        <f>RANK(AI701,$AI$685:$AI$702,0)+COUNTIF($AI$684:AI700,AI701)</f>
        <v>7</v>
      </c>
      <c r="Z701" s="19" t="str">
        <f>CONCATENATE(EQUIPES!F22)</f>
        <v>VfL Wolfsburg</v>
      </c>
      <c r="AA701" s="19">
        <f>COUNTIFS(F4:F375,Z701,G4:G375,"&gt;=0")+COUNTIFS(I4:I375,Z701,H4:H375,"&gt;=0")</f>
        <v>24</v>
      </c>
      <c r="AB701" s="19">
        <f>COUNTIFS(F4:F375,Z701,B4:B375,3)+COUNTIFS(I4:I375,Z701,M4:M375,3)</f>
        <v>9</v>
      </c>
      <c r="AC701" s="19">
        <f>COUNTIFS(F4:F375,Z701,B4:B375,1)+COUNTIFS(I4:I375,Z701,M4:M375,1)</f>
        <v>8</v>
      </c>
      <c r="AD701" s="19">
        <f>COUNTIFS(F4:F375,Z701,B4:B375,0)+COUNTIFS(I4:I375,Z701,M4:M375,0)</f>
        <v>7</v>
      </c>
      <c r="AE701" s="19">
        <f>SUMIF(F4:F375,Z701,G4:G375)+SUMIF(I4:I375,Z701,H4:H375)</f>
        <v>34</v>
      </c>
      <c r="AF701" s="19">
        <f>SUMIF(F4:F375,Z701,H4:H375)+SUMIF(I4:I375,Z701,G4:G375)</f>
        <v>30</v>
      </c>
      <c r="AG701" s="19">
        <f t="shared" si="395"/>
        <v>4</v>
      </c>
      <c r="AH701" s="19">
        <f t="shared" si="396"/>
        <v>35</v>
      </c>
      <c r="AI701" s="19">
        <f t="shared" si="397"/>
        <v>35000.074000000001</v>
      </c>
      <c r="AJ701" s="2"/>
      <c r="AW701" s="7"/>
    </row>
    <row r="702" spans="1:49" x14ac:dyDescent="0.25">
      <c r="A702" s="1"/>
      <c r="B702" s="1"/>
      <c r="C702" s="1"/>
      <c r="D702" s="64"/>
      <c r="E702" s="1"/>
      <c r="G702" s="1"/>
      <c r="H702" s="1"/>
      <c r="K702" s="64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52" t="str">
        <f t="shared" si="393"/>
        <v>Werder Bremen</v>
      </c>
      <c r="W702" s="52" t="str">
        <f t="shared" si="394"/>
        <v>17</v>
      </c>
      <c r="Y702" s="19">
        <f>RANK(AI702,$AI$685:$AI$702,0)+COUNTIF($AI$684:AI701,AI702)</f>
        <v>17</v>
      </c>
      <c r="Z702" s="19" t="str">
        <f>CONCATENATE(EQUIPES!F23)</f>
        <v>Werder Bremen</v>
      </c>
      <c r="AA702" s="19">
        <f>COUNTIFS(F4:F375,Z702,G4:G375,"&gt;=0")+COUNTIFS(I4:I375,Z702,H4:H375,"&gt;=0")</f>
        <v>23</v>
      </c>
      <c r="AB702" s="19">
        <f>COUNTIFS(F4:F375,Z702,B4:B375,3)+COUNTIFS(I4:I375,Z702,M4:M375,3)</f>
        <v>4</v>
      </c>
      <c r="AC702" s="19">
        <f>COUNTIFS(F4:F375,Z702,B4:B375,1)+COUNTIFS(I4:I375,Z702,M4:M375,1)</f>
        <v>5</v>
      </c>
      <c r="AD702" s="19">
        <f>COUNTIFS(F4:F375,Z702,B4:B375,0)+COUNTIFS(I4:I375,Z702,M4:M375,0)</f>
        <v>14</v>
      </c>
      <c r="AE702" s="19">
        <f>SUMIF(F4:F375,Z702,G4:G375)+SUMIF(I4:I375,Z702,H4:H375)</f>
        <v>25</v>
      </c>
      <c r="AF702" s="19">
        <f>SUMIF(F4:F375,Z702,H4:H375)+SUMIF(I4:I375,Z702,G4:G375)</f>
        <v>53</v>
      </c>
      <c r="AG702" s="19">
        <f t="shared" si="395"/>
        <v>-28</v>
      </c>
      <c r="AH702" s="19">
        <f t="shared" si="396"/>
        <v>17</v>
      </c>
      <c r="AI702" s="19">
        <f t="shared" si="397"/>
        <v>16999.745000000003</v>
      </c>
      <c r="AJ702" s="2"/>
      <c r="AW702" s="7"/>
    </row>
    <row r="703" spans="1:49" x14ac:dyDescent="0.25">
      <c r="A703" s="1"/>
      <c r="B703" s="1"/>
      <c r="C703" s="1"/>
      <c r="D703" s="64"/>
      <c r="E703" s="1"/>
      <c r="G703" s="1"/>
      <c r="H703" s="1"/>
      <c r="K703" s="64"/>
      <c r="L703" s="1"/>
      <c r="M703" s="1"/>
      <c r="N703" s="1"/>
      <c r="O703" s="1"/>
      <c r="P703" s="1"/>
      <c r="Q703" s="1"/>
      <c r="R703" s="1"/>
      <c r="S703" s="1"/>
      <c r="T703" s="1"/>
      <c r="U703" s="1"/>
      <c r="Y703" s="2"/>
      <c r="Z703" s="51"/>
      <c r="AA703" s="2"/>
      <c r="AB703" s="2"/>
      <c r="AC703" s="2"/>
      <c r="AD703" s="2"/>
      <c r="AE703" s="2"/>
      <c r="AF703" s="2"/>
      <c r="AG703" s="2"/>
      <c r="AH703" s="2"/>
      <c r="AI703" s="2"/>
      <c r="AJ703" s="2"/>
      <c r="AW703" s="7"/>
    </row>
    <row r="704" spans="1:49" x14ac:dyDescent="0.25">
      <c r="A704" s="1"/>
      <c r="B704" s="1"/>
      <c r="C704" s="1"/>
      <c r="D704" s="64"/>
      <c r="E704" s="1"/>
      <c r="G704" s="1"/>
      <c r="H704" s="1"/>
      <c r="K704" s="64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2" t="str">
        <f>CONCATENATE(Z704)</f>
        <v/>
      </c>
      <c r="Y704" s="2"/>
      <c r="Z704" s="51"/>
      <c r="AA704" s="2"/>
      <c r="AB704" s="2"/>
      <c r="AC704" s="2"/>
      <c r="AD704" s="2"/>
      <c r="AE704" s="2"/>
      <c r="AF704" s="2"/>
      <c r="AG704" s="2"/>
      <c r="AH704" s="2"/>
      <c r="AI704" s="2"/>
      <c r="AJ704" s="2"/>
      <c r="AW704" s="7"/>
    </row>
    <row r="705" spans="1:49" x14ac:dyDescent="0.25">
      <c r="A705" s="1"/>
      <c r="B705" s="1"/>
      <c r="C705" s="1"/>
      <c r="D705" s="64"/>
      <c r="E705" s="1"/>
      <c r="G705" s="1"/>
      <c r="H705" s="1"/>
      <c r="K705" s="64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2" t="str">
        <f t="shared" ref="V705:V721" si="398">CONCATENATE(Z705)</f>
        <v/>
      </c>
      <c r="Y705" s="2"/>
      <c r="Z705" s="51"/>
      <c r="AA705" s="2"/>
      <c r="AB705" s="2"/>
      <c r="AC705" s="2"/>
      <c r="AD705" s="2"/>
      <c r="AE705" s="2"/>
      <c r="AF705" s="2"/>
      <c r="AG705" s="2"/>
      <c r="AH705" s="2"/>
      <c r="AI705" s="2"/>
      <c r="AJ705" s="2"/>
      <c r="AW705" s="7"/>
    </row>
    <row r="706" spans="1:49" x14ac:dyDescent="0.25">
      <c r="A706" s="1"/>
      <c r="B706" s="1"/>
      <c r="C706" s="1"/>
      <c r="D706" s="64"/>
      <c r="E706" s="1"/>
      <c r="G706" s="1"/>
      <c r="H706" s="1"/>
      <c r="K706" s="64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2" t="str">
        <f t="shared" si="398"/>
        <v/>
      </c>
      <c r="Y706" s="2"/>
      <c r="Z706" s="2"/>
      <c r="AA706" s="2"/>
      <c r="AB706" s="2"/>
      <c r="AC706" s="2"/>
      <c r="AD706" s="2"/>
      <c r="AE706" s="2"/>
      <c r="AF706" s="2"/>
      <c r="AG706" s="2"/>
      <c r="AH706" s="2"/>
      <c r="AI706" s="2"/>
      <c r="AJ706" s="2"/>
      <c r="AW706" s="7"/>
    </row>
    <row r="707" spans="1:49" x14ac:dyDescent="0.25">
      <c r="A707" s="1"/>
      <c r="B707" s="1"/>
      <c r="C707" s="1"/>
      <c r="D707" s="64"/>
      <c r="E707" s="1"/>
      <c r="G707" s="1"/>
      <c r="H707" s="1"/>
      <c r="K707" s="64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2" t="str">
        <f t="shared" si="398"/>
        <v/>
      </c>
      <c r="Y707" s="2"/>
      <c r="Z707" s="2"/>
      <c r="AA707" s="2"/>
      <c r="AB707" s="2"/>
      <c r="AC707" s="2"/>
      <c r="AD707" s="2"/>
      <c r="AE707" s="2"/>
      <c r="AF707" s="2"/>
      <c r="AG707" s="2"/>
      <c r="AH707" s="2"/>
      <c r="AI707" s="2"/>
      <c r="AJ707" s="2"/>
      <c r="AW707" s="7"/>
    </row>
    <row r="708" spans="1:49" x14ac:dyDescent="0.25">
      <c r="A708" s="1"/>
      <c r="B708" s="1"/>
      <c r="C708" s="1"/>
      <c r="D708" s="64"/>
      <c r="E708" s="1"/>
      <c r="G708" s="1"/>
      <c r="H708" s="1"/>
      <c r="K708" s="64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2" t="str">
        <f t="shared" si="398"/>
        <v/>
      </c>
      <c r="Y708" s="2"/>
      <c r="Z708" s="2"/>
      <c r="AA708" s="2"/>
      <c r="AB708" s="2"/>
      <c r="AC708" s="2"/>
      <c r="AD708" s="2"/>
      <c r="AE708" s="2"/>
      <c r="AF708" s="2"/>
      <c r="AG708" s="2"/>
      <c r="AH708" s="2"/>
      <c r="AI708" s="2"/>
      <c r="AW708" s="7"/>
    </row>
    <row r="709" spans="1:49" x14ac:dyDescent="0.25">
      <c r="A709" s="1"/>
      <c r="B709" s="1"/>
      <c r="C709" s="1"/>
      <c r="D709" s="64"/>
      <c r="E709" s="1"/>
      <c r="G709" s="1"/>
      <c r="H709" s="1"/>
      <c r="K709" s="64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2" t="str">
        <f t="shared" si="398"/>
        <v/>
      </c>
      <c r="Y709" s="2"/>
      <c r="Z709" s="2"/>
      <c r="AA709" s="2"/>
      <c r="AB709" s="2"/>
      <c r="AC709" s="2"/>
      <c r="AD709" s="2"/>
      <c r="AE709" s="2"/>
      <c r="AF709" s="2"/>
      <c r="AG709" s="2"/>
      <c r="AH709" s="2"/>
      <c r="AI709" s="2"/>
      <c r="AJ709" s="2"/>
      <c r="AW709" s="7"/>
    </row>
    <row r="710" spans="1:49" x14ac:dyDescent="0.25">
      <c r="A710" s="1"/>
      <c r="B710" s="1"/>
      <c r="C710" s="1"/>
      <c r="D710" s="64"/>
      <c r="E710" s="1"/>
      <c r="G710" s="1"/>
      <c r="H710" s="1"/>
      <c r="K710" s="64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2" t="str">
        <f t="shared" si="398"/>
        <v/>
      </c>
      <c r="Y710" s="2"/>
      <c r="Z710" s="2"/>
      <c r="AA710" s="2"/>
      <c r="AB710" s="2"/>
      <c r="AC710" s="2"/>
      <c r="AD710" s="2"/>
      <c r="AE710" s="2"/>
      <c r="AF710" s="2"/>
      <c r="AG710" s="2"/>
      <c r="AH710" s="2"/>
      <c r="AI710" s="2"/>
      <c r="AJ710" s="2"/>
      <c r="AW710" s="7"/>
    </row>
    <row r="711" spans="1:49" x14ac:dyDescent="0.25">
      <c r="A711" s="1"/>
      <c r="B711" s="1"/>
      <c r="C711" s="1"/>
      <c r="D711" s="64"/>
      <c r="E711" s="1"/>
      <c r="G711" s="1"/>
      <c r="H711" s="1"/>
      <c r="K711" s="64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2" t="str">
        <f t="shared" si="398"/>
        <v/>
      </c>
      <c r="Y711" s="2"/>
      <c r="Z711" s="2"/>
      <c r="AA711" s="2"/>
      <c r="AB711" s="2"/>
      <c r="AC711" s="2"/>
      <c r="AD711" s="2"/>
      <c r="AE711" s="2"/>
      <c r="AF711" s="2"/>
      <c r="AG711" s="2"/>
      <c r="AH711" s="2"/>
      <c r="AI711" s="2"/>
      <c r="AJ711" s="2"/>
      <c r="AW711" s="7"/>
    </row>
    <row r="712" spans="1:49" x14ac:dyDescent="0.25">
      <c r="A712" s="1"/>
      <c r="B712" s="1"/>
      <c r="C712" s="1"/>
      <c r="D712" s="64"/>
      <c r="E712" s="1"/>
      <c r="G712" s="1"/>
      <c r="H712" s="1"/>
      <c r="K712" s="64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2" t="str">
        <f t="shared" si="398"/>
        <v/>
      </c>
      <c r="Y712" s="2"/>
      <c r="Z712" s="2"/>
      <c r="AA712" s="2"/>
      <c r="AB712" s="2"/>
      <c r="AC712" s="2"/>
      <c r="AD712" s="2"/>
      <c r="AE712" s="2"/>
      <c r="AF712" s="2"/>
      <c r="AG712" s="2"/>
      <c r="AH712" s="2"/>
      <c r="AI712" s="2"/>
      <c r="AJ712" s="2"/>
      <c r="AW712" s="7"/>
    </row>
    <row r="713" spans="1:49" x14ac:dyDescent="0.25">
      <c r="A713" s="1"/>
      <c r="B713" s="1"/>
      <c r="C713" s="1"/>
      <c r="D713" s="64"/>
      <c r="E713" s="1"/>
      <c r="G713" s="1"/>
      <c r="H713" s="1"/>
      <c r="K713" s="64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2" t="str">
        <f t="shared" si="398"/>
        <v/>
      </c>
      <c r="Y713" s="2"/>
      <c r="Z713" s="2"/>
      <c r="AA713" s="2"/>
      <c r="AB713" s="2"/>
      <c r="AC713" s="2"/>
      <c r="AD713" s="2"/>
      <c r="AE713" s="2"/>
      <c r="AF713" s="2"/>
      <c r="AG713" s="2"/>
      <c r="AH713" s="2"/>
      <c r="AI713" s="2"/>
      <c r="AJ713" s="2"/>
      <c r="AW713" s="7"/>
    </row>
    <row r="714" spans="1:49" x14ac:dyDescent="0.25">
      <c r="A714" s="1"/>
      <c r="B714" s="1"/>
      <c r="C714" s="1"/>
      <c r="D714" s="64"/>
      <c r="E714" s="1"/>
      <c r="G714" s="1"/>
      <c r="H714" s="1"/>
      <c r="K714" s="64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2" t="str">
        <f t="shared" si="398"/>
        <v/>
      </c>
      <c r="Y714" s="2"/>
      <c r="Z714" s="2"/>
      <c r="AA714" s="2"/>
      <c r="AB714" s="2"/>
      <c r="AC714" s="2"/>
      <c r="AD714" s="2"/>
      <c r="AE714" s="2"/>
      <c r="AF714" s="2"/>
      <c r="AG714" s="2"/>
      <c r="AH714" s="2"/>
      <c r="AI714" s="2"/>
      <c r="AJ714" s="2"/>
      <c r="AW714" s="7"/>
    </row>
    <row r="715" spans="1:49" x14ac:dyDescent="0.25">
      <c r="A715" s="1"/>
      <c r="B715" s="1"/>
      <c r="C715" s="1"/>
      <c r="D715" s="64"/>
      <c r="E715" s="1"/>
      <c r="G715" s="1"/>
      <c r="H715" s="1"/>
      <c r="K715" s="64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2" t="str">
        <f t="shared" si="398"/>
        <v/>
      </c>
      <c r="Y715" s="2"/>
      <c r="Z715" s="2"/>
      <c r="AA715" s="2"/>
      <c r="AB715" s="2"/>
      <c r="AC715" s="2"/>
      <c r="AD715" s="2"/>
      <c r="AE715" s="2"/>
      <c r="AF715" s="2"/>
      <c r="AG715" s="2"/>
      <c r="AH715" s="2"/>
      <c r="AI715" s="2"/>
      <c r="AJ715" s="2"/>
      <c r="AW715" s="7"/>
    </row>
    <row r="716" spans="1:49" x14ac:dyDescent="0.25">
      <c r="A716" s="1"/>
      <c r="B716" s="1"/>
      <c r="C716" s="1"/>
      <c r="D716" s="64"/>
      <c r="E716" s="1"/>
      <c r="G716" s="1"/>
      <c r="H716" s="1"/>
      <c r="K716" s="64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2" t="str">
        <f t="shared" si="398"/>
        <v/>
      </c>
      <c r="Y716" s="2"/>
      <c r="Z716" s="2"/>
      <c r="AA716" s="2"/>
      <c r="AB716" s="2"/>
      <c r="AC716" s="2"/>
      <c r="AD716" s="2"/>
      <c r="AE716" s="2"/>
      <c r="AF716" s="2"/>
      <c r="AG716" s="2"/>
      <c r="AH716" s="2"/>
      <c r="AI716" s="2"/>
      <c r="AJ716" s="2"/>
      <c r="AW716" s="7"/>
    </row>
    <row r="717" spans="1:49" x14ac:dyDescent="0.25">
      <c r="A717" s="1"/>
      <c r="B717" s="1"/>
      <c r="C717" s="1"/>
      <c r="D717" s="64"/>
      <c r="E717" s="1"/>
      <c r="G717" s="1"/>
      <c r="H717" s="1"/>
      <c r="K717" s="64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2" t="str">
        <f t="shared" si="398"/>
        <v/>
      </c>
      <c r="Y717" s="2"/>
      <c r="Z717" s="2"/>
      <c r="AA717" s="2"/>
      <c r="AB717" s="2"/>
      <c r="AC717" s="2"/>
      <c r="AD717" s="2"/>
      <c r="AE717" s="2"/>
      <c r="AF717" s="2"/>
      <c r="AG717" s="2"/>
      <c r="AH717" s="2"/>
      <c r="AI717" s="2"/>
      <c r="AJ717" s="2"/>
      <c r="AW717" s="7"/>
    </row>
    <row r="718" spans="1:49" x14ac:dyDescent="0.25">
      <c r="A718" s="1"/>
      <c r="B718" s="1"/>
      <c r="C718" s="1"/>
      <c r="D718" s="64"/>
      <c r="E718" s="1"/>
      <c r="G718" s="1"/>
      <c r="H718" s="1"/>
      <c r="K718" s="64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2" t="str">
        <f t="shared" si="398"/>
        <v/>
      </c>
      <c r="Y718" s="2"/>
      <c r="Z718" s="2"/>
      <c r="AA718" s="2"/>
      <c r="AB718" s="2"/>
      <c r="AC718" s="2"/>
      <c r="AD718" s="2"/>
      <c r="AE718" s="2"/>
      <c r="AF718" s="2"/>
      <c r="AG718" s="2"/>
      <c r="AH718" s="2"/>
      <c r="AI718" s="2"/>
      <c r="AJ718" s="2"/>
      <c r="AW718" s="7"/>
    </row>
    <row r="719" spans="1:49" x14ac:dyDescent="0.25">
      <c r="A719" s="1"/>
      <c r="B719" s="1"/>
      <c r="C719" s="1"/>
      <c r="D719" s="64"/>
      <c r="E719" s="1"/>
      <c r="G719" s="1"/>
      <c r="H719" s="1"/>
      <c r="K719" s="64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2" t="str">
        <f t="shared" si="398"/>
        <v/>
      </c>
      <c r="Y719" s="2"/>
      <c r="Z719" s="2"/>
      <c r="AA719" s="2"/>
      <c r="AB719" s="2"/>
      <c r="AC719" s="2"/>
      <c r="AD719" s="2"/>
      <c r="AE719" s="2"/>
      <c r="AF719" s="2"/>
      <c r="AG719" s="2"/>
      <c r="AH719" s="2"/>
      <c r="AI719" s="2"/>
      <c r="AJ719" s="2"/>
      <c r="AW719" s="7"/>
    </row>
    <row r="720" spans="1:49" x14ac:dyDescent="0.25">
      <c r="A720" s="1"/>
      <c r="B720" s="1"/>
      <c r="C720" s="1"/>
      <c r="D720" s="64"/>
      <c r="E720" s="1"/>
      <c r="G720" s="1"/>
      <c r="H720" s="1"/>
      <c r="K720" s="64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2" t="str">
        <f t="shared" si="398"/>
        <v/>
      </c>
      <c r="Y720" s="2"/>
      <c r="Z720" s="2"/>
      <c r="AA720" s="2"/>
      <c r="AB720" s="2"/>
      <c r="AC720" s="2"/>
      <c r="AD720" s="2"/>
      <c r="AE720" s="2"/>
      <c r="AF720" s="2"/>
      <c r="AG720" s="2"/>
      <c r="AH720" s="2"/>
      <c r="AI720" s="2"/>
      <c r="AJ720" s="2"/>
      <c r="AW720" s="7"/>
    </row>
    <row r="721" spans="1:49" x14ac:dyDescent="0.25">
      <c r="A721" s="1"/>
      <c r="B721" s="1"/>
      <c r="C721" s="1"/>
      <c r="D721" s="64"/>
      <c r="E721" s="1"/>
      <c r="G721" s="1"/>
      <c r="H721" s="1"/>
      <c r="K721" s="64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2" t="str">
        <f t="shared" si="398"/>
        <v/>
      </c>
      <c r="Y721" s="2"/>
      <c r="Z721" s="2"/>
      <c r="AA721" s="2"/>
      <c r="AB721" s="2"/>
      <c r="AC721" s="2"/>
      <c r="AD721" s="2"/>
      <c r="AE721" s="2"/>
      <c r="AF721" s="2"/>
      <c r="AG721" s="2"/>
      <c r="AH721" s="2"/>
      <c r="AI721" s="2"/>
      <c r="AJ721" s="2"/>
      <c r="AW721" s="7"/>
    </row>
    <row r="722" spans="1:49" x14ac:dyDescent="0.25">
      <c r="A722" s="1"/>
      <c r="B722" s="1"/>
      <c r="C722" s="1"/>
      <c r="D722" s="64"/>
      <c r="E722" s="1"/>
      <c r="G722" s="1"/>
      <c r="H722" s="1"/>
      <c r="K722" s="64"/>
      <c r="L722" s="1"/>
      <c r="M722" s="1"/>
      <c r="N722" s="1"/>
      <c r="O722" s="1"/>
      <c r="P722" s="1"/>
      <c r="Q722" s="1"/>
      <c r="R722" s="1"/>
      <c r="S722" s="1"/>
      <c r="T722" s="1"/>
      <c r="U722" s="1"/>
      <c r="AJ722" s="2"/>
      <c r="AW722" s="7"/>
    </row>
    <row r="723" spans="1:49" x14ac:dyDescent="0.25">
      <c r="A723" s="1"/>
      <c r="B723" s="1"/>
      <c r="C723" s="1"/>
      <c r="D723" s="64"/>
      <c r="E723" s="1"/>
      <c r="G723" s="1"/>
      <c r="H723" s="1"/>
      <c r="K723" s="64"/>
      <c r="L723" s="1"/>
      <c r="M723" s="1"/>
      <c r="N723" s="1"/>
      <c r="O723" s="1"/>
      <c r="P723" s="1"/>
      <c r="Q723" s="1"/>
      <c r="R723" s="1"/>
      <c r="S723" s="1"/>
      <c r="T723" s="1"/>
      <c r="U723" s="1"/>
      <c r="Y723" s="2"/>
      <c r="Z723" s="2"/>
      <c r="AA723" s="2"/>
      <c r="AB723" s="2"/>
      <c r="AC723" s="2"/>
      <c r="AD723" s="2"/>
      <c r="AE723" s="2"/>
      <c r="AF723" s="2"/>
      <c r="AG723" s="2"/>
      <c r="AH723" s="2"/>
      <c r="AI723" s="2"/>
      <c r="AJ723" s="2"/>
      <c r="AW723" s="7"/>
    </row>
    <row r="724" spans="1:49" x14ac:dyDescent="0.25">
      <c r="A724" s="1"/>
      <c r="B724" s="1"/>
      <c r="C724" s="1"/>
      <c r="D724" s="64"/>
      <c r="E724" s="1"/>
      <c r="G724" s="1"/>
      <c r="H724" s="1"/>
      <c r="K724" s="64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2" t="str">
        <f>CONCATENATE(Z724)</f>
        <v/>
      </c>
      <c r="Y724" s="2"/>
      <c r="Z724" s="2"/>
      <c r="AA724" s="2"/>
      <c r="AB724" s="2"/>
      <c r="AC724" s="2"/>
      <c r="AD724" s="2"/>
      <c r="AE724" s="2"/>
      <c r="AF724" s="2"/>
      <c r="AG724" s="2"/>
      <c r="AH724" s="2"/>
      <c r="AI724" s="2"/>
      <c r="AJ724" s="2"/>
      <c r="AW724" s="7"/>
    </row>
    <row r="725" spans="1:49" x14ac:dyDescent="0.25">
      <c r="A725" s="1"/>
      <c r="B725" s="1"/>
      <c r="C725" s="1"/>
      <c r="D725" s="64"/>
      <c r="E725" s="1"/>
      <c r="G725" s="1"/>
      <c r="H725" s="1"/>
      <c r="K725" s="64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2" t="str">
        <f t="shared" ref="V725:V741" si="399">CONCATENATE(Z725)</f>
        <v/>
      </c>
      <c r="Y725" s="2"/>
      <c r="Z725" s="2"/>
      <c r="AA725" s="2"/>
      <c r="AB725" s="2"/>
      <c r="AC725" s="2"/>
      <c r="AD725" s="2"/>
      <c r="AE725" s="2"/>
      <c r="AF725" s="2"/>
      <c r="AG725" s="2"/>
      <c r="AH725" s="2"/>
      <c r="AI725" s="2"/>
      <c r="AJ725" s="2"/>
      <c r="AW725" s="7"/>
    </row>
    <row r="726" spans="1:49" x14ac:dyDescent="0.25">
      <c r="A726" s="1"/>
      <c r="B726" s="1"/>
      <c r="C726" s="1"/>
      <c r="D726" s="64"/>
      <c r="E726" s="1"/>
      <c r="G726" s="1"/>
      <c r="H726" s="1"/>
      <c r="K726" s="64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2" t="str">
        <f t="shared" si="399"/>
        <v/>
      </c>
      <c r="Y726" s="2"/>
      <c r="Z726" s="2"/>
      <c r="AA726" s="2"/>
      <c r="AB726" s="2"/>
      <c r="AC726" s="2"/>
      <c r="AD726" s="2"/>
      <c r="AE726" s="2"/>
      <c r="AF726" s="2"/>
      <c r="AG726" s="2"/>
      <c r="AH726" s="2"/>
      <c r="AI726" s="2"/>
      <c r="AJ726" s="2"/>
      <c r="AW726" s="7"/>
    </row>
    <row r="727" spans="1:49" x14ac:dyDescent="0.25">
      <c r="A727" s="1"/>
      <c r="B727" s="1"/>
      <c r="C727" s="1"/>
      <c r="D727" s="64"/>
      <c r="E727" s="1"/>
      <c r="G727" s="1"/>
      <c r="H727" s="1"/>
      <c r="K727" s="64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2" t="str">
        <f t="shared" si="399"/>
        <v/>
      </c>
      <c r="Y727" s="2"/>
      <c r="Z727" s="2"/>
      <c r="AA727" s="2"/>
      <c r="AB727" s="2"/>
      <c r="AC727" s="2"/>
      <c r="AD727" s="2"/>
      <c r="AE727" s="2"/>
      <c r="AF727" s="2"/>
      <c r="AG727" s="2"/>
      <c r="AH727" s="2"/>
      <c r="AI727" s="2"/>
      <c r="AJ727" s="2"/>
      <c r="AW727" s="7"/>
    </row>
    <row r="728" spans="1:49" x14ac:dyDescent="0.25">
      <c r="A728" s="1"/>
      <c r="B728" s="1"/>
      <c r="C728" s="1"/>
      <c r="D728" s="64"/>
      <c r="E728" s="1"/>
      <c r="G728" s="1"/>
      <c r="H728" s="1"/>
      <c r="K728" s="64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2" t="str">
        <f t="shared" si="399"/>
        <v/>
      </c>
      <c r="Y728" s="2"/>
      <c r="Z728" s="2"/>
      <c r="AA728" s="2"/>
      <c r="AB728" s="2"/>
      <c r="AC728" s="2"/>
      <c r="AD728" s="2"/>
      <c r="AE728" s="2"/>
      <c r="AF728" s="2"/>
      <c r="AG728" s="2"/>
      <c r="AH728" s="2"/>
      <c r="AI728" s="2"/>
      <c r="AJ728" s="2"/>
      <c r="AW728" s="7"/>
    </row>
    <row r="729" spans="1:49" x14ac:dyDescent="0.25">
      <c r="A729" s="1"/>
      <c r="B729" s="1"/>
      <c r="C729" s="1"/>
      <c r="D729" s="64"/>
      <c r="E729" s="1"/>
      <c r="G729" s="1"/>
      <c r="H729" s="1"/>
      <c r="K729" s="64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2" t="str">
        <f t="shared" si="399"/>
        <v/>
      </c>
      <c r="Y729" s="2"/>
      <c r="Z729" s="2"/>
      <c r="AA729" s="2"/>
      <c r="AB729" s="2"/>
      <c r="AC729" s="2"/>
      <c r="AD729" s="2"/>
      <c r="AE729" s="2"/>
      <c r="AF729" s="2"/>
      <c r="AG729" s="2"/>
      <c r="AH729" s="2"/>
      <c r="AI729" s="2"/>
      <c r="AJ729" s="2"/>
      <c r="AW729" s="7"/>
    </row>
    <row r="730" spans="1:49" x14ac:dyDescent="0.25">
      <c r="A730" s="1"/>
      <c r="B730" s="1"/>
      <c r="C730" s="1"/>
      <c r="D730" s="64"/>
      <c r="E730" s="1"/>
      <c r="G730" s="1"/>
      <c r="H730" s="1"/>
      <c r="K730" s="64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2" t="str">
        <f t="shared" si="399"/>
        <v/>
      </c>
      <c r="Y730" s="2"/>
      <c r="Z730" s="2"/>
      <c r="AA730" s="2"/>
      <c r="AB730" s="2"/>
      <c r="AC730" s="2"/>
      <c r="AD730" s="2"/>
      <c r="AE730" s="2"/>
      <c r="AF730" s="2"/>
      <c r="AG730" s="2"/>
      <c r="AH730" s="2"/>
      <c r="AI730" s="2"/>
      <c r="AW730" s="7"/>
    </row>
    <row r="731" spans="1:49" x14ac:dyDescent="0.25">
      <c r="A731" s="1"/>
      <c r="B731" s="1"/>
      <c r="C731" s="1"/>
      <c r="D731" s="64"/>
      <c r="E731" s="1"/>
      <c r="G731" s="1"/>
      <c r="H731" s="1"/>
      <c r="K731" s="64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2" t="str">
        <f t="shared" si="399"/>
        <v/>
      </c>
      <c r="Y731" s="2"/>
      <c r="Z731" s="2"/>
      <c r="AA731" s="2"/>
      <c r="AB731" s="2"/>
      <c r="AC731" s="2"/>
      <c r="AD731" s="2"/>
      <c r="AE731" s="2"/>
      <c r="AF731" s="2"/>
      <c r="AG731" s="2"/>
      <c r="AH731" s="2"/>
      <c r="AI731" s="2"/>
      <c r="AJ731" s="2"/>
      <c r="AW731" s="7"/>
    </row>
    <row r="732" spans="1:49" x14ac:dyDescent="0.25">
      <c r="A732" s="1"/>
      <c r="B732" s="1"/>
      <c r="C732" s="1"/>
      <c r="D732" s="64"/>
      <c r="E732" s="1"/>
      <c r="G732" s="1"/>
      <c r="H732" s="1"/>
      <c r="K732" s="64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2" t="str">
        <f t="shared" si="399"/>
        <v/>
      </c>
      <c r="Y732" s="2"/>
      <c r="Z732" s="2"/>
      <c r="AA732" s="2"/>
      <c r="AB732" s="2"/>
      <c r="AC732" s="2"/>
      <c r="AD732" s="2"/>
      <c r="AE732" s="2"/>
      <c r="AF732" s="2"/>
      <c r="AG732" s="2"/>
      <c r="AH732" s="2"/>
      <c r="AI732" s="2"/>
      <c r="AJ732" s="2"/>
      <c r="AW732" s="7"/>
    </row>
    <row r="733" spans="1:49" x14ac:dyDescent="0.25">
      <c r="A733" s="1"/>
      <c r="B733" s="1"/>
      <c r="C733" s="1"/>
      <c r="D733" s="64"/>
      <c r="E733" s="1"/>
      <c r="G733" s="1"/>
      <c r="H733" s="1"/>
      <c r="K733" s="64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2" t="str">
        <f t="shared" si="399"/>
        <v/>
      </c>
      <c r="Y733" s="2"/>
      <c r="Z733" s="2"/>
      <c r="AA733" s="2"/>
      <c r="AB733" s="2"/>
      <c r="AC733" s="2"/>
      <c r="AD733" s="2"/>
      <c r="AE733" s="2"/>
      <c r="AF733" s="2"/>
      <c r="AG733" s="2"/>
      <c r="AH733" s="2"/>
      <c r="AI733" s="2"/>
      <c r="AJ733" s="2"/>
      <c r="AW733" s="7"/>
    </row>
    <row r="734" spans="1:49" x14ac:dyDescent="0.25">
      <c r="A734" s="1"/>
      <c r="B734" s="1"/>
      <c r="C734" s="1"/>
      <c r="D734" s="64"/>
      <c r="E734" s="1"/>
      <c r="G734" s="1"/>
      <c r="H734" s="1"/>
      <c r="K734" s="64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2" t="str">
        <f t="shared" si="399"/>
        <v/>
      </c>
      <c r="Y734" s="2"/>
      <c r="Z734" s="2"/>
      <c r="AA734" s="2"/>
      <c r="AB734" s="2"/>
      <c r="AC734" s="2"/>
      <c r="AD734" s="2"/>
      <c r="AE734" s="2"/>
      <c r="AF734" s="2"/>
      <c r="AG734" s="2"/>
      <c r="AH734" s="2"/>
      <c r="AI734" s="2"/>
      <c r="AJ734" s="2"/>
      <c r="AW734" s="7"/>
    </row>
    <row r="735" spans="1:49" x14ac:dyDescent="0.25">
      <c r="A735" s="1"/>
      <c r="B735" s="1"/>
      <c r="C735" s="1"/>
      <c r="D735" s="64"/>
      <c r="E735" s="1"/>
      <c r="G735" s="1"/>
      <c r="H735" s="1"/>
      <c r="K735" s="64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2" t="str">
        <f t="shared" si="399"/>
        <v/>
      </c>
      <c r="Y735" s="2"/>
      <c r="Z735" s="2"/>
      <c r="AA735" s="2"/>
      <c r="AB735" s="2"/>
      <c r="AC735" s="2"/>
      <c r="AD735" s="2"/>
      <c r="AE735" s="2"/>
      <c r="AF735" s="2"/>
      <c r="AG735" s="2"/>
      <c r="AH735" s="2"/>
      <c r="AI735" s="2"/>
      <c r="AJ735" s="2"/>
      <c r="AW735" s="7"/>
    </row>
    <row r="736" spans="1:49" x14ac:dyDescent="0.25">
      <c r="A736" s="1"/>
      <c r="B736" s="1"/>
      <c r="C736" s="1"/>
      <c r="D736" s="64"/>
      <c r="E736" s="1"/>
      <c r="G736" s="1"/>
      <c r="H736" s="1"/>
      <c r="K736" s="64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2" t="str">
        <f t="shared" si="399"/>
        <v/>
      </c>
      <c r="Y736" s="2"/>
      <c r="Z736" s="2"/>
      <c r="AA736" s="2"/>
      <c r="AB736" s="2"/>
      <c r="AC736" s="2"/>
      <c r="AD736" s="2"/>
      <c r="AE736" s="2"/>
      <c r="AF736" s="2"/>
      <c r="AG736" s="2"/>
      <c r="AH736" s="2"/>
      <c r="AI736" s="2"/>
      <c r="AJ736" s="2"/>
      <c r="AW736" s="7"/>
    </row>
    <row r="737" spans="1:49" x14ac:dyDescent="0.25">
      <c r="A737" s="1"/>
      <c r="B737" s="1"/>
      <c r="C737" s="1"/>
      <c r="D737" s="64"/>
      <c r="E737" s="1"/>
      <c r="G737" s="1"/>
      <c r="H737" s="1"/>
      <c r="K737" s="64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2" t="str">
        <f t="shared" si="399"/>
        <v/>
      </c>
      <c r="Y737" s="2"/>
      <c r="Z737" s="2"/>
      <c r="AA737" s="2"/>
      <c r="AB737" s="2"/>
      <c r="AC737" s="2"/>
      <c r="AD737" s="2"/>
      <c r="AE737" s="2"/>
      <c r="AF737" s="2"/>
      <c r="AG737" s="2"/>
      <c r="AH737" s="2"/>
      <c r="AI737" s="2"/>
      <c r="AJ737" s="2"/>
      <c r="AW737" s="7"/>
    </row>
    <row r="738" spans="1:49" x14ac:dyDescent="0.25">
      <c r="A738" s="1"/>
      <c r="B738" s="1"/>
      <c r="C738" s="1"/>
      <c r="D738" s="64"/>
      <c r="E738" s="1"/>
      <c r="G738" s="1"/>
      <c r="H738" s="1"/>
      <c r="K738" s="64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2" t="str">
        <f t="shared" si="399"/>
        <v/>
      </c>
      <c r="Y738" s="2"/>
      <c r="Z738" s="2"/>
      <c r="AA738" s="2"/>
      <c r="AB738" s="2"/>
      <c r="AC738" s="2"/>
      <c r="AD738" s="2"/>
      <c r="AE738" s="2"/>
      <c r="AF738" s="2"/>
      <c r="AG738" s="2"/>
      <c r="AH738" s="2"/>
      <c r="AI738" s="2"/>
      <c r="AJ738" s="2"/>
      <c r="AW738" s="7"/>
    </row>
    <row r="739" spans="1:49" x14ac:dyDescent="0.25">
      <c r="A739" s="1"/>
      <c r="B739" s="1"/>
      <c r="C739" s="1"/>
      <c r="D739" s="64"/>
      <c r="E739" s="1"/>
      <c r="G739" s="1"/>
      <c r="H739" s="1"/>
      <c r="K739" s="64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2" t="str">
        <f t="shared" si="399"/>
        <v/>
      </c>
      <c r="Y739" s="2"/>
      <c r="Z739" s="2"/>
      <c r="AA739" s="2"/>
      <c r="AB739" s="2"/>
      <c r="AC739" s="2"/>
      <c r="AD739" s="2"/>
      <c r="AE739" s="2"/>
      <c r="AF739" s="2"/>
      <c r="AG739" s="2"/>
      <c r="AH739" s="2"/>
      <c r="AI739" s="2"/>
      <c r="AJ739" s="2"/>
      <c r="AW739" s="7"/>
    </row>
    <row r="740" spans="1:49" x14ac:dyDescent="0.25">
      <c r="A740" s="1"/>
      <c r="B740" s="1"/>
      <c r="C740" s="1"/>
      <c r="D740" s="64"/>
      <c r="E740" s="1"/>
      <c r="G740" s="1"/>
      <c r="H740" s="1"/>
      <c r="K740" s="64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2" t="str">
        <f t="shared" si="399"/>
        <v/>
      </c>
      <c r="Y740" s="2"/>
      <c r="Z740" s="2"/>
      <c r="AA740" s="2"/>
      <c r="AB740" s="2"/>
      <c r="AC740" s="2"/>
      <c r="AD740" s="2"/>
      <c r="AE740" s="2"/>
      <c r="AF740" s="2"/>
      <c r="AG740" s="2"/>
      <c r="AH740" s="2"/>
      <c r="AI740" s="2"/>
      <c r="AJ740" s="2"/>
      <c r="AW740" s="7"/>
    </row>
    <row r="741" spans="1:49" x14ac:dyDescent="0.25">
      <c r="A741" s="1"/>
      <c r="B741" s="1"/>
      <c r="C741" s="1"/>
      <c r="D741" s="64"/>
      <c r="E741" s="1"/>
      <c r="G741" s="1"/>
      <c r="H741" s="1"/>
      <c r="K741" s="64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2" t="str">
        <f t="shared" si="399"/>
        <v/>
      </c>
      <c r="Y741" s="2"/>
      <c r="Z741" s="2"/>
      <c r="AA741" s="2"/>
      <c r="AB741" s="2"/>
      <c r="AC741" s="2"/>
      <c r="AD741" s="2"/>
      <c r="AE741" s="2"/>
      <c r="AF741" s="2"/>
      <c r="AG741" s="2"/>
      <c r="AH741" s="2"/>
      <c r="AI741" s="2"/>
      <c r="AJ741" s="2"/>
      <c r="AW741" s="7"/>
    </row>
    <row r="742" spans="1:49" x14ac:dyDescent="0.25">
      <c r="A742" s="1"/>
      <c r="B742" s="1"/>
      <c r="C742" s="1"/>
      <c r="D742" s="64"/>
      <c r="E742" s="1"/>
      <c r="G742" s="1"/>
      <c r="H742" s="1"/>
      <c r="K742" s="64"/>
      <c r="L742" s="1"/>
      <c r="M742" s="1"/>
      <c r="N742" s="1"/>
      <c r="O742" s="1"/>
      <c r="P742" s="1"/>
      <c r="Q742" s="1"/>
      <c r="R742" s="1"/>
      <c r="S742" s="1"/>
      <c r="T742" s="1"/>
      <c r="U742" s="1"/>
      <c r="AJ742" s="2"/>
      <c r="AW742" s="7"/>
    </row>
    <row r="743" spans="1:49" x14ac:dyDescent="0.25">
      <c r="A743" s="1"/>
      <c r="B743" s="1"/>
      <c r="C743" s="1"/>
      <c r="D743" s="64"/>
      <c r="E743" s="1"/>
      <c r="G743" s="1"/>
      <c r="H743" s="1"/>
      <c r="K743" s="64"/>
      <c r="L743" s="1"/>
      <c r="M743" s="1"/>
      <c r="N743" s="1"/>
      <c r="O743" s="1"/>
      <c r="P743" s="1"/>
      <c r="Q743" s="1"/>
      <c r="R743" s="1"/>
      <c r="S743" s="1"/>
      <c r="T743" s="1"/>
      <c r="U743" s="1"/>
      <c r="Y743" s="2"/>
      <c r="Z743" s="2"/>
      <c r="AA743" s="2"/>
      <c r="AB743" s="2"/>
      <c r="AC743" s="2"/>
      <c r="AD743" s="2"/>
      <c r="AE743" s="2"/>
      <c r="AF743" s="2"/>
      <c r="AG743" s="2"/>
      <c r="AH743" s="2"/>
      <c r="AI743" s="2"/>
      <c r="AJ743" s="2"/>
      <c r="AW743" s="7"/>
    </row>
    <row r="744" spans="1:49" x14ac:dyDescent="0.25">
      <c r="A744" s="1"/>
      <c r="B744" s="1"/>
      <c r="C744" s="1"/>
      <c r="D744" s="64"/>
      <c r="E744" s="1"/>
      <c r="G744" s="1"/>
      <c r="H744" s="1"/>
      <c r="K744" s="64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2" t="str">
        <f>CONCATENATE(Z744)</f>
        <v/>
      </c>
      <c r="Y744" s="2"/>
      <c r="Z744" s="2"/>
      <c r="AA744" s="2"/>
      <c r="AB744" s="2"/>
      <c r="AC744" s="2"/>
      <c r="AD744" s="2"/>
      <c r="AE744" s="2"/>
      <c r="AF744" s="2"/>
      <c r="AG744" s="2"/>
      <c r="AH744" s="2"/>
      <c r="AI744" s="2"/>
      <c r="AJ744" s="2"/>
      <c r="AW744" s="7"/>
    </row>
    <row r="745" spans="1:49" x14ac:dyDescent="0.25">
      <c r="A745" s="1"/>
      <c r="B745" s="1"/>
      <c r="C745" s="1"/>
      <c r="D745" s="64"/>
      <c r="E745" s="1"/>
      <c r="G745" s="1"/>
      <c r="H745" s="1"/>
      <c r="K745" s="64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2" t="str">
        <f t="shared" ref="V745:V761" si="400">CONCATENATE(Z745)</f>
        <v/>
      </c>
      <c r="Y745" s="2"/>
      <c r="Z745" s="2"/>
      <c r="AA745" s="2"/>
      <c r="AB745" s="2"/>
      <c r="AC745" s="2"/>
      <c r="AD745" s="2"/>
      <c r="AE745" s="2"/>
      <c r="AF745" s="2"/>
      <c r="AG745" s="2"/>
      <c r="AH745" s="2"/>
      <c r="AI745" s="2"/>
      <c r="AJ745" s="2"/>
      <c r="AW745" s="7"/>
    </row>
    <row r="746" spans="1:49" x14ac:dyDescent="0.25">
      <c r="A746" s="1"/>
      <c r="B746" s="1"/>
      <c r="C746" s="1"/>
      <c r="D746" s="64"/>
      <c r="E746" s="1"/>
      <c r="G746" s="1"/>
      <c r="H746" s="1"/>
      <c r="K746" s="64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2" t="str">
        <f t="shared" si="400"/>
        <v/>
      </c>
      <c r="Y746" s="2"/>
      <c r="Z746" s="2"/>
      <c r="AA746" s="2"/>
      <c r="AB746" s="2"/>
      <c r="AC746" s="2"/>
      <c r="AD746" s="2"/>
      <c r="AE746" s="2"/>
      <c r="AF746" s="2"/>
      <c r="AG746" s="2"/>
      <c r="AH746" s="2"/>
      <c r="AI746" s="2"/>
      <c r="AJ746" s="2"/>
      <c r="AW746" s="7"/>
    </row>
    <row r="747" spans="1:49" x14ac:dyDescent="0.25">
      <c r="A747" s="1"/>
      <c r="B747" s="1"/>
      <c r="C747" s="1"/>
      <c r="D747" s="64"/>
      <c r="E747" s="1"/>
      <c r="G747" s="1"/>
      <c r="H747" s="1"/>
      <c r="K747" s="64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2" t="str">
        <f t="shared" si="400"/>
        <v/>
      </c>
      <c r="Y747" s="2"/>
      <c r="Z747" s="2"/>
      <c r="AA747" s="2"/>
      <c r="AB747" s="2"/>
      <c r="AC747" s="2"/>
      <c r="AD747" s="2"/>
      <c r="AE747" s="2"/>
      <c r="AF747" s="2"/>
      <c r="AG747" s="2"/>
      <c r="AH747" s="2"/>
      <c r="AI747" s="2"/>
      <c r="AJ747" s="2"/>
      <c r="AW747" s="7"/>
    </row>
    <row r="748" spans="1:49" x14ac:dyDescent="0.25">
      <c r="A748" s="1"/>
      <c r="B748" s="1"/>
      <c r="C748" s="1"/>
      <c r="D748" s="64"/>
      <c r="E748" s="1"/>
      <c r="G748" s="1"/>
      <c r="H748" s="1"/>
      <c r="K748" s="64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2" t="str">
        <f t="shared" si="400"/>
        <v/>
      </c>
      <c r="Y748" s="2"/>
      <c r="Z748" s="2"/>
      <c r="AA748" s="2"/>
      <c r="AB748" s="2"/>
      <c r="AC748" s="2"/>
      <c r="AD748" s="2"/>
      <c r="AE748" s="2"/>
      <c r="AF748" s="2"/>
      <c r="AG748" s="2"/>
      <c r="AH748" s="2"/>
      <c r="AI748" s="2"/>
      <c r="AJ748" s="2"/>
      <c r="AW748" s="7"/>
    </row>
    <row r="749" spans="1:49" x14ac:dyDescent="0.25">
      <c r="A749" s="1"/>
      <c r="B749" s="1"/>
      <c r="C749" s="1"/>
      <c r="D749" s="64"/>
      <c r="E749" s="1"/>
      <c r="G749" s="1"/>
      <c r="H749" s="1"/>
      <c r="K749" s="64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2" t="str">
        <f t="shared" si="400"/>
        <v/>
      </c>
      <c r="Y749" s="2"/>
      <c r="Z749" s="2"/>
      <c r="AA749" s="2"/>
      <c r="AB749" s="2"/>
      <c r="AC749" s="2"/>
      <c r="AD749" s="2"/>
      <c r="AE749" s="2"/>
      <c r="AF749" s="2"/>
      <c r="AG749" s="2"/>
      <c r="AH749" s="2"/>
      <c r="AI749" s="2"/>
      <c r="AJ749" s="2"/>
      <c r="AW749" s="7"/>
    </row>
    <row r="750" spans="1:49" x14ac:dyDescent="0.25">
      <c r="A750" s="1"/>
      <c r="B750" s="1"/>
      <c r="C750" s="1"/>
      <c r="D750" s="64"/>
      <c r="E750" s="1"/>
      <c r="G750" s="1"/>
      <c r="H750" s="1"/>
      <c r="K750" s="64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2" t="str">
        <f t="shared" si="400"/>
        <v/>
      </c>
      <c r="Y750" s="2"/>
      <c r="Z750" s="2"/>
      <c r="AA750" s="2"/>
      <c r="AB750" s="2"/>
      <c r="AC750" s="2"/>
      <c r="AD750" s="2"/>
      <c r="AE750" s="2"/>
      <c r="AF750" s="2"/>
      <c r="AG750" s="2"/>
      <c r="AH750" s="2"/>
      <c r="AI750" s="2"/>
      <c r="AJ750" s="2"/>
      <c r="AW750" s="7"/>
    </row>
    <row r="751" spans="1:49" x14ac:dyDescent="0.25">
      <c r="A751" s="1"/>
      <c r="B751" s="1"/>
      <c r="C751" s="1"/>
      <c r="D751" s="64"/>
      <c r="E751" s="1"/>
      <c r="G751" s="1"/>
      <c r="H751" s="1"/>
      <c r="K751" s="64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2" t="str">
        <f t="shared" si="400"/>
        <v/>
      </c>
      <c r="Y751" s="2"/>
      <c r="Z751" s="2"/>
      <c r="AA751" s="2"/>
      <c r="AB751" s="2"/>
      <c r="AC751" s="2"/>
      <c r="AD751" s="2"/>
      <c r="AE751" s="2"/>
      <c r="AF751" s="2"/>
      <c r="AG751" s="2"/>
      <c r="AH751" s="2"/>
      <c r="AI751" s="2"/>
      <c r="AJ751" s="2"/>
      <c r="AW751" s="7"/>
    </row>
    <row r="752" spans="1:49" x14ac:dyDescent="0.25">
      <c r="A752" s="1"/>
      <c r="B752" s="1"/>
      <c r="C752" s="1"/>
      <c r="D752" s="64"/>
      <c r="E752" s="1"/>
      <c r="G752" s="1"/>
      <c r="H752" s="1"/>
      <c r="K752" s="64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2" t="str">
        <f t="shared" si="400"/>
        <v/>
      </c>
      <c r="Y752" s="2"/>
      <c r="Z752" s="2"/>
      <c r="AA752" s="2"/>
      <c r="AB752" s="2"/>
      <c r="AC752" s="2"/>
      <c r="AD752" s="2"/>
      <c r="AE752" s="2"/>
      <c r="AF752" s="2"/>
      <c r="AG752" s="2"/>
      <c r="AH752" s="2"/>
      <c r="AI752" s="2"/>
      <c r="AW752" s="7"/>
    </row>
    <row r="753" spans="1:49" x14ac:dyDescent="0.25">
      <c r="A753" s="1"/>
      <c r="B753" s="1"/>
      <c r="C753" s="1"/>
      <c r="D753" s="64"/>
      <c r="E753" s="1"/>
      <c r="G753" s="1"/>
      <c r="H753" s="1"/>
      <c r="K753" s="64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2" t="str">
        <f t="shared" si="400"/>
        <v/>
      </c>
      <c r="Y753" s="2"/>
      <c r="Z753" s="2"/>
      <c r="AA753" s="2"/>
      <c r="AB753" s="2"/>
      <c r="AC753" s="2"/>
      <c r="AD753" s="2"/>
      <c r="AE753" s="2"/>
      <c r="AF753" s="2"/>
      <c r="AG753" s="2"/>
      <c r="AH753" s="2"/>
      <c r="AI753" s="2"/>
      <c r="AJ753" s="2"/>
      <c r="AW753" s="7"/>
    </row>
    <row r="754" spans="1:49" x14ac:dyDescent="0.25">
      <c r="A754" s="1"/>
      <c r="B754" s="1"/>
      <c r="C754" s="1"/>
      <c r="D754" s="64"/>
      <c r="E754" s="1"/>
      <c r="G754" s="1"/>
      <c r="H754" s="1"/>
      <c r="K754" s="64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2" t="str">
        <f t="shared" si="400"/>
        <v/>
      </c>
      <c r="Y754" s="2"/>
      <c r="Z754" s="2"/>
      <c r="AA754" s="2"/>
      <c r="AB754" s="2"/>
      <c r="AC754" s="2"/>
      <c r="AD754" s="2"/>
      <c r="AE754" s="2"/>
      <c r="AF754" s="2"/>
      <c r="AG754" s="2"/>
      <c r="AH754" s="2"/>
      <c r="AI754" s="2"/>
      <c r="AJ754" s="2"/>
    </row>
    <row r="755" spans="1:49" x14ac:dyDescent="0.25">
      <c r="A755" s="1"/>
      <c r="B755" s="1"/>
      <c r="C755" s="1"/>
      <c r="D755" s="64"/>
      <c r="E755" s="1"/>
      <c r="G755" s="1"/>
      <c r="H755" s="1"/>
      <c r="K755" s="64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2" t="str">
        <f t="shared" si="400"/>
        <v/>
      </c>
      <c r="Y755" s="2"/>
      <c r="Z755" s="2"/>
      <c r="AA755" s="2"/>
      <c r="AB755" s="2"/>
      <c r="AC755" s="2"/>
      <c r="AD755" s="2"/>
      <c r="AE755" s="2"/>
      <c r="AF755" s="2"/>
      <c r="AG755" s="2"/>
      <c r="AH755" s="2"/>
      <c r="AI755" s="2"/>
      <c r="AJ755" s="2"/>
      <c r="AW755" s="7"/>
    </row>
    <row r="756" spans="1:49" x14ac:dyDescent="0.25">
      <c r="A756" s="1"/>
      <c r="B756" s="1"/>
      <c r="C756" s="1"/>
      <c r="D756" s="64"/>
      <c r="E756" s="1"/>
      <c r="G756" s="1"/>
      <c r="H756" s="1"/>
      <c r="K756" s="64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2" t="str">
        <f t="shared" si="400"/>
        <v/>
      </c>
      <c r="Y756" s="2"/>
      <c r="Z756" s="2"/>
      <c r="AA756" s="2"/>
      <c r="AB756" s="2"/>
      <c r="AC756" s="2"/>
      <c r="AD756" s="2"/>
      <c r="AE756" s="2"/>
      <c r="AF756" s="2"/>
      <c r="AG756" s="2"/>
      <c r="AH756" s="2"/>
      <c r="AI756" s="2"/>
      <c r="AJ756" s="2"/>
      <c r="AW756" s="7"/>
    </row>
    <row r="757" spans="1:49" x14ac:dyDescent="0.25">
      <c r="A757" s="1"/>
      <c r="B757" s="1"/>
      <c r="C757" s="1"/>
      <c r="D757" s="64"/>
      <c r="E757" s="1"/>
      <c r="G757" s="1"/>
      <c r="H757" s="1"/>
      <c r="K757" s="64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2" t="str">
        <f t="shared" si="400"/>
        <v/>
      </c>
      <c r="Y757" s="2"/>
      <c r="Z757" s="2"/>
      <c r="AA757" s="2"/>
      <c r="AB757" s="2"/>
      <c r="AC757" s="2"/>
      <c r="AD757" s="2"/>
      <c r="AE757" s="2"/>
      <c r="AF757" s="2"/>
      <c r="AG757" s="2"/>
      <c r="AH757" s="2"/>
      <c r="AI757" s="2"/>
      <c r="AJ757" s="2"/>
      <c r="AW757" s="7"/>
    </row>
    <row r="758" spans="1:49" x14ac:dyDescent="0.25">
      <c r="A758" s="1"/>
      <c r="B758" s="1"/>
      <c r="C758" s="1"/>
      <c r="D758" s="64"/>
      <c r="E758" s="1"/>
      <c r="G758" s="1"/>
      <c r="H758" s="1"/>
      <c r="K758" s="64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2" t="str">
        <f t="shared" si="400"/>
        <v/>
      </c>
      <c r="Y758" s="2"/>
      <c r="Z758" s="2"/>
      <c r="AA758" s="2"/>
      <c r="AB758" s="2"/>
      <c r="AC758" s="2"/>
      <c r="AD758" s="2"/>
      <c r="AE758" s="2"/>
      <c r="AF758" s="2"/>
      <c r="AG758" s="2"/>
      <c r="AH758" s="2"/>
      <c r="AI758" s="2"/>
      <c r="AJ758" s="2"/>
      <c r="AW758" s="7"/>
    </row>
    <row r="759" spans="1:49" x14ac:dyDescent="0.25">
      <c r="A759" s="1"/>
      <c r="B759" s="1"/>
      <c r="C759" s="1"/>
      <c r="D759" s="64"/>
      <c r="E759" s="1"/>
      <c r="G759" s="1"/>
      <c r="H759" s="1"/>
      <c r="K759" s="64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2" t="str">
        <f t="shared" si="400"/>
        <v/>
      </c>
      <c r="Y759" s="2"/>
      <c r="Z759" s="2"/>
      <c r="AA759" s="2"/>
      <c r="AB759" s="2"/>
      <c r="AC759" s="2"/>
      <c r="AD759" s="2"/>
      <c r="AE759" s="2"/>
      <c r="AF759" s="2"/>
      <c r="AG759" s="2"/>
      <c r="AH759" s="2"/>
      <c r="AI759" s="2"/>
      <c r="AJ759" s="2"/>
      <c r="AW759" s="7"/>
    </row>
    <row r="760" spans="1:49" x14ac:dyDescent="0.25">
      <c r="A760" s="1"/>
      <c r="B760" s="1"/>
      <c r="C760" s="1"/>
      <c r="D760" s="64"/>
      <c r="E760" s="1"/>
      <c r="G760" s="1"/>
      <c r="H760" s="1"/>
      <c r="K760" s="64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2" t="str">
        <f t="shared" si="400"/>
        <v/>
      </c>
      <c r="Y760" s="2"/>
      <c r="Z760" s="2"/>
      <c r="AA760" s="2"/>
      <c r="AB760" s="2"/>
      <c r="AC760" s="2"/>
      <c r="AD760" s="2"/>
      <c r="AE760" s="2"/>
      <c r="AF760" s="2"/>
      <c r="AG760" s="2"/>
      <c r="AH760" s="2"/>
      <c r="AI760" s="2"/>
      <c r="AJ760" s="2"/>
      <c r="AW760" s="7"/>
    </row>
    <row r="761" spans="1:49" x14ac:dyDescent="0.25">
      <c r="A761" s="1"/>
      <c r="B761" s="1"/>
      <c r="C761" s="1"/>
      <c r="D761" s="64"/>
      <c r="E761" s="1"/>
      <c r="G761" s="1"/>
      <c r="H761" s="1"/>
      <c r="K761" s="64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2" t="str">
        <f t="shared" si="400"/>
        <v/>
      </c>
      <c r="Y761" s="2"/>
      <c r="Z761" s="2"/>
      <c r="AA761" s="2"/>
      <c r="AB761" s="2"/>
      <c r="AC761" s="2"/>
      <c r="AD761" s="2"/>
      <c r="AE761" s="2"/>
      <c r="AF761" s="2"/>
      <c r="AG761" s="2"/>
      <c r="AH761" s="2"/>
      <c r="AI761" s="2"/>
      <c r="AJ761" s="2"/>
      <c r="AW761" s="7"/>
    </row>
    <row r="762" spans="1:49" x14ac:dyDescent="0.25">
      <c r="A762" s="1"/>
      <c r="B762" s="1"/>
      <c r="C762" s="1"/>
      <c r="D762" s="64"/>
      <c r="E762" s="1"/>
      <c r="G762" s="1"/>
      <c r="H762" s="1"/>
      <c r="K762" s="64"/>
      <c r="L762" s="1"/>
      <c r="M762" s="1"/>
      <c r="N762" s="1"/>
      <c r="O762" s="1"/>
      <c r="P762" s="1"/>
      <c r="Q762" s="1"/>
      <c r="R762" s="1"/>
      <c r="S762" s="1"/>
      <c r="T762" s="1"/>
      <c r="U762" s="1"/>
      <c r="AJ762" s="2"/>
      <c r="AW762" s="7"/>
    </row>
    <row r="763" spans="1:49" x14ac:dyDescent="0.25">
      <c r="A763" s="1"/>
      <c r="B763" s="1"/>
      <c r="C763" s="1"/>
      <c r="D763" s="64"/>
      <c r="E763" s="1"/>
      <c r="G763" s="1"/>
      <c r="H763" s="1"/>
      <c r="K763" s="64"/>
      <c r="L763" s="1"/>
      <c r="M763" s="1"/>
      <c r="N763" s="1"/>
      <c r="O763" s="1"/>
      <c r="P763" s="1"/>
      <c r="Q763" s="1"/>
      <c r="R763" s="1"/>
      <c r="S763" s="1"/>
      <c r="T763" s="1"/>
      <c r="U763" s="1"/>
      <c r="AJ763" s="2"/>
      <c r="AW763" s="7"/>
    </row>
    <row r="764" spans="1:49" x14ac:dyDescent="0.25">
      <c r="A764" s="1"/>
      <c r="B764" s="1"/>
      <c r="C764" s="1"/>
      <c r="D764" s="64"/>
      <c r="E764" s="1"/>
      <c r="G764" s="1"/>
      <c r="H764" s="1"/>
      <c r="K764" s="64"/>
      <c r="L764" s="1"/>
      <c r="M764" s="1"/>
      <c r="N764" s="1"/>
      <c r="O764" s="1"/>
      <c r="P764" s="1"/>
      <c r="Q764" s="1"/>
      <c r="R764" s="1"/>
      <c r="S764" s="1"/>
      <c r="T764" s="1"/>
      <c r="U764" s="1"/>
      <c r="AJ764" s="2"/>
      <c r="AW764" s="7"/>
    </row>
    <row r="765" spans="1:49" x14ac:dyDescent="0.25">
      <c r="A765" s="1"/>
      <c r="B765" s="1"/>
      <c r="C765" s="1"/>
      <c r="D765" s="64"/>
      <c r="E765" s="1"/>
      <c r="G765" s="1"/>
      <c r="H765" s="1"/>
      <c r="K765" s="64"/>
      <c r="L765" s="1"/>
      <c r="M765" s="1"/>
      <c r="N765" s="1"/>
      <c r="O765" s="1"/>
      <c r="P765" s="1"/>
      <c r="Q765" s="1"/>
      <c r="R765" s="1"/>
      <c r="S765" s="1"/>
      <c r="T765" s="1"/>
      <c r="U765" s="1"/>
      <c r="AJ765" s="2"/>
      <c r="AW765" s="7"/>
    </row>
    <row r="766" spans="1:49" x14ac:dyDescent="0.25">
      <c r="A766" s="1"/>
      <c r="B766" s="1"/>
      <c r="C766" s="1"/>
      <c r="D766" s="64"/>
      <c r="E766" s="1"/>
      <c r="G766" s="1"/>
      <c r="H766" s="1"/>
      <c r="K766" s="64"/>
      <c r="L766" s="1"/>
      <c r="M766" s="1"/>
      <c r="N766" s="1"/>
      <c r="O766" s="1"/>
      <c r="P766" s="1"/>
      <c r="Q766" s="1"/>
      <c r="R766" s="1"/>
      <c r="S766" s="1"/>
      <c r="T766" s="1"/>
      <c r="U766" s="1"/>
      <c r="AJ766" s="2"/>
      <c r="AW766" s="7"/>
    </row>
    <row r="767" spans="1:49" x14ac:dyDescent="0.25">
      <c r="A767" s="1"/>
      <c r="B767" s="1"/>
      <c r="C767" s="1"/>
      <c r="D767" s="64"/>
      <c r="E767" s="1"/>
      <c r="G767" s="1"/>
      <c r="H767" s="1"/>
      <c r="K767" s="64"/>
      <c r="L767" s="1"/>
      <c r="M767" s="1"/>
      <c r="N767" s="1"/>
      <c r="O767" s="1"/>
      <c r="P767" s="1"/>
      <c r="Q767" s="1"/>
      <c r="R767" s="1"/>
      <c r="S767" s="1"/>
      <c r="T767" s="1"/>
      <c r="U767" s="1"/>
      <c r="AJ767" s="2"/>
      <c r="AW767" s="7"/>
    </row>
    <row r="768" spans="1:49" x14ac:dyDescent="0.25">
      <c r="A768" s="1"/>
      <c r="B768" s="1"/>
      <c r="C768" s="1"/>
      <c r="D768" s="64"/>
      <c r="E768" s="1"/>
      <c r="G768" s="1"/>
      <c r="H768" s="1"/>
      <c r="K768" s="64"/>
      <c r="L768" s="1"/>
      <c r="M768" s="1"/>
      <c r="N768" s="1"/>
      <c r="O768" s="1"/>
      <c r="P768" s="1"/>
      <c r="Q768" s="1"/>
      <c r="R768" s="1"/>
      <c r="S768" s="1"/>
      <c r="T768" s="1"/>
      <c r="U768" s="1"/>
      <c r="AJ768" s="2"/>
      <c r="AW768" s="7"/>
    </row>
    <row r="769" spans="1:49" x14ac:dyDescent="0.25">
      <c r="A769" s="1"/>
      <c r="B769" s="1"/>
      <c r="C769" s="1"/>
      <c r="D769" s="64"/>
      <c r="E769" s="1"/>
      <c r="G769" s="1"/>
      <c r="H769" s="1"/>
      <c r="K769" s="64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AJ769" s="2"/>
      <c r="AW769" s="7"/>
    </row>
    <row r="770" spans="1:49" x14ac:dyDescent="0.25">
      <c r="A770" s="1"/>
      <c r="B770" s="1"/>
      <c r="C770" s="1"/>
      <c r="D770" s="64"/>
      <c r="E770" s="1"/>
      <c r="G770" s="1"/>
      <c r="H770" s="1"/>
      <c r="K770" s="64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AJ770" s="2"/>
      <c r="AW770" s="7"/>
    </row>
    <row r="771" spans="1:49" x14ac:dyDescent="0.25">
      <c r="A771" s="1"/>
      <c r="B771" s="1"/>
      <c r="C771" s="1"/>
      <c r="D771" s="64"/>
      <c r="E771" s="1"/>
      <c r="G771" s="1"/>
      <c r="H771" s="1"/>
      <c r="K771" s="64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AJ771" s="2"/>
      <c r="AW771" s="7"/>
    </row>
    <row r="772" spans="1:49" x14ac:dyDescent="0.25">
      <c r="A772" s="1"/>
      <c r="B772" s="1"/>
      <c r="C772" s="1"/>
      <c r="D772" s="64"/>
      <c r="E772" s="1"/>
      <c r="G772" s="1"/>
      <c r="H772" s="1"/>
      <c r="K772" s="64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AJ772" s="2"/>
      <c r="AW772" s="7"/>
    </row>
    <row r="773" spans="1:49" x14ac:dyDescent="0.25">
      <c r="A773" s="1"/>
      <c r="B773" s="1"/>
      <c r="C773" s="1"/>
      <c r="D773" s="64"/>
      <c r="E773" s="1"/>
      <c r="G773" s="1"/>
      <c r="H773" s="1"/>
      <c r="K773" s="64"/>
      <c r="L773" s="1"/>
      <c r="M773" s="1"/>
      <c r="N773" s="1"/>
      <c r="O773" s="1"/>
      <c r="P773" s="1"/>
      <c r="Q773" s="1"/>
      <c r="R773" s="1"/>
      <c r="S773" s="1"/>
      <c r="T773" s="1"/>
      <c r="U773" s="1"/>
      <c r="AJ773" s="2"/>
      <c r="AW773" s="7"/>
    </row>
    <row r="774" spans="1:49" x14ac:dyDescent="0.25">
      <c r="V774" s="1"/>
      <c r="W774" s="1"/>
      <c r="AW774" s="7"/>
    </row>
    <row r="775" spans="1:49" x14ac:dyDescent="0.25">
      <c r="A775" s="1"/>
      <c r="B775" s="1"/>
      <c r="C775" s="1"/>
      <c r="D775" s="64"/>
      <c r="E775" s="1"/>
      <c r="G775" s="1"/>
      <c r="H775" s="1"/>
      <c r="K775" s="64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AJ775" s="2"/>
      <c r="AW775" s="7"/>
    </row>
    <row r="776" spans="1:49" x14ac:dyDescent="0.25">
      <c r="A776" s="1"/>
      <c r="B776" s="1"/>
      <c r="C776" s="1"/>
      <c r="D776" s="64"/>
      <c r="E776" s="1"/>
      <c r="G776" s="1"/>
      <c r="H776" s="1"/>
      <c r="K776" s="64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AJ776" s="2"/>
    </row>
    <row r="777" spans="1:49" x14ac:dyDescent="0.25">
      <c r="A777" s="1"/>
      <c r="B777" s="1"/>
      <c r="C777" s="1"/>
      <c r="D777" s="64"/>
      <c r="E777" s="1"/>
      <c r="G777" s="1"/>
      <c r="H777" s="1"/>
      <c r="K777" s="64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AJ777" s="2"/>
      <c r="AW777" s="7"/>
    </row>
    <row r="778" spans="1:49" x14ac:dyDescent="0.25">
      <c r="A778" s="1"/>
      <c r="B778" s="1"/>
      <c r="C778" s="1"/>
      <c r="D778" s="64"/>
      <c r="E778" s="1"/>
      <c r="G778" s="1"/>
      <c r="H778" s="1"/>
      <c r="K778" s="64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AJ778" s="2"/>
      <c r="AW778" s="7"/>
    </row>
    <row r="779" spans="1:49" x14ac:dyDescent="0.25">
      <c r="A779" s="1"/>
      <c r="B779" s="1"/>
      <c r="C779" s="1"/>
      <c r="D779" s="64"/>
      <c r="E779" s="1"/>
      <c r="G779" s="1"/>
      <c r="H779" s="1"/>
      <c r="K779" s="64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AJ779" s="2"/>
      <c r="AW779" s="7"/>
    </row>
    <row r="780" spans="1:49" x14ac:dyDescent="0.25">
      <c r="A780" s="1"/>
      <c r="B780" s="1"/>
      <c r="C780" s="1"/>
      <c r="D780" s="64"/>
      <c r="E780" s="1"/>
      <c r="G780" s="1"/>
      <c r="H780" s="1"/>
      <c r="K780" s="64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AJ780" s="2"/>
      <c r="AW780" s="7"/>
    </row>
    <row r="781" spans="1:49" x14ac:dyDescent="0.25">
      <c r="A781" s="1"/>
      <c r="B781" s="1"/>
      <c r="C781" s="1"/>
      <c r="D781" s="64"/>
      <c r="E781" s="1"/>
      <c r="G781" s="1"/>
      <c r="H781" s="1"/>
      <c r="K781" s="64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AJ781" s="2"/>
      <c r="AW781" s="7"/>
    </row>
    <row r="782" spans="1:49" x14ac:dyDescent="0.25">
      <c r="A782" s="1"/>
      <c r="B782" s="1"/>
      <c r="C782" s="1"/>
      <c r="D782" s="64"/>
      <c r="E782" s="1"/>
      <c r="G782" s="1"/>
      <c r="H782" s="1"/>
      <c r="K782" s="64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AJ782" s="2"/>
      <c r="AW782" s="7"/>
    </row>
    <row r="783" spans="1:49" x14ac:dyDescent="0.25">
      <c r="A783" s="1"/>
      <c r="B783" s="1"/>
      <c r="C783" s="1"/>
      <c r="D783" s="64"/>
      <c r="E783" s="1"/>
      <c r="G783" s="1"/>
      <c r="H783" s="1"/>
      <c r="K783" s="64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AJ783" s="2"/>
      <c r="AW783" s="7"/>
    </row>
    <row r="784" spans="1:49" x14ac:dyDescent="0.25">
      <c r="A784" s="1"/>
      <c r="B784" s="1"/>
      <c r="C784" s="1"/>
      <c r="D784" s="64"/>
      <c r="E784" s="1"/>
      <c r="G784" s="1"/>
      <c r="H784" s="1"/>
      <c r="K784" s="64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AJ784" s="2"/>
      <c r="AW784" s="7"/>
    </row>
    <row r="785" spans="1:49" x14ac:dyDescent="0.25">
      <c r="A785" s="1"/>
      <c r="B785" s="1"/>
      <c r="C785" s="1"/>
      <c r="D785" s="64"/>
      <c r="E785" s="1"/>
      <c r="G785" s="1"/>
      <c r="H785" s="1"/>
      <c r="K785" s="64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AJ785" s="2"/>
      <c r="AW785" s="7"/>
    </row>
    <row r="786" spans="1:49" x14ac:dyDescent="0.25">
      <c r="A786" s="1"/>
      <c r="B786" s="1"/>
      <c r="C786" s="1"/>
      <c r="D786" s="64"/>
      <c r="E786" s="1"/>
      <c r="G786" s="1"/>
      <c r="H786" s="1"/>
      <c r="K786" s="64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AJ786" s="2"/>
      <c r="AW786" s="7"/>
    </row>
    <row r="787" spans="1:49" x14ac:dyDescent="0.25">
      <c r="A787" s="1"/>
      <c r="B787" s="1"/>
      <c r="C787" s="1"/>
      <c r="D787" s="64"/>
      <c r="E787" s="1"/>
      <c r="G787" s="1"/>
      <c r="H787" s="1"/>
      <c r="K787" s="64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AJ787" s="2"/>
      <c r="AW787" s="7"/>
    </row>
    <row r="788" spans="1:49" x14ac:dyDescent="0.25">
      <c r="A788" s="1"/>
      <c r="B788" s="1"/>
      <c r="C788" s="1"/>
      <c r="D788" s="64"/>
      <c r="E788" s="1"/>
      <c r="G788" s="1"/>
      <c r="H788" s="1"/>
      <c r="K788" s="64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AJ788" s="2"/>
      <c r="AW788" s="7"/>
    </row>
    <row r="789" spans="1:49" x14ac:dyDescent="0.25">
      <c r="A789" s="1"/>
      <c r="B789" s="1"/>
      <c r="C789" s="1"/>
      <c r="D789" s="64"/>
      <c r="E789" s="1"/>
      <c r="G789" s="1"/>
      <c r="H789" s="1"/>
      <c r="K789" s="64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AJ789" s="2"/>
      <c r="AW789" s="7"/>
    </row>
    <row r="790" spans="1:49" x14ac:dyDescent="0.25">
      <c r="A790" s="1"/>
      <c r="B790" s="1"/>
      <c r="C790" s="1"/>
      <c r="D790" s="64"/>
      <c r="E790" s="1"/>
      <c r="G790" s="1"/>
      <c r="H790" s="1"/>
      <c r="K790" s="64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AJ790" s="2"/>
      <c r="AW790" s="7"/>
    </row>
    <row r="791" spans="1:49" x14ac:dyDescent="0.25">
      <c r="A791" s="1"/>
      <c r="B791" s="1"/>
      <c r="C791" s="1"/>
      <c r="D791" s="64"/>
      <c r="E791" s="1"/>
      <c r="G791" s="1"/>
      <c r="H791" s="1"/>
      <c r="K791" s="64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AJ791" s="2"/>
      <c r="AW791" s="7"/>
    </row>
    <row r="792" spans="1:49" x14ac:dyDescent="0.25">
      <c r="A792" s="1"/>
      <c r="B792" s="1"/>
      <c r="C792" s="1"/>
      <c r="D792" s="64"/>
      <c r="E792" s="1"/>
      <c r="G792" s="1"/>
      <c r="H792" s="1"/>
      <c r="K792" s="64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AJ792" s="2"/>
      <c r="AW792" s="7"/>
    </row>
    <row r="793" spans="1:49" x14ac:dyDescent="0.25">
      <c r="A793" s="1"/>
      <c r="B793" s="1"/>
      <c r="C793" s="1"/>
      <c r="D793" s="64"/>
      <c r="E793" s="1"/>
      <c r="G793" s="1"/>
      <c r="H793" s="1"/>
      <c r="K793" s="64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AJ793" s="2"/>
      <c r="AW793" s="7"/>
    </row>
    <row r="794" spans="1:49" x14ac:dyDescent="0.25">
      <c r="A794" s="1"/>
      <c r="B794" s="1"/>
      <c r="C794" s="1"/>
      <c r="D794" s="64"/>
      <c r="E794" s="1"/>
      <c r="G794" s="1"/>
      <c r="H794" s="1"/>
      <c r="K794" s="64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AJ794" s="2"/>
      <c r="AW794" s="7"/>
    </row>
    <row r="795" spans="1:49" x14ac:dyDescent="0.25">
      <c r="A795" s="1"/>
      <c r="B795" s="1"/>
      <c r="C795" s="1"/>
      <c r="D795" s="64"/>
      <c r="E795" s="1"/>
      <c r="G795" s="1"/>
      <c r="H795" s="1"/>
      <c r="K795" s="64"/>
      <c r="L795" s="1"/>
      <c r="M795" s="1"/>
      <c r="N795" s="1"/>
      <c r="O795" s="1"/>
      <c r="P795" s="1"/>
      <c r="Q795" s="1"/>
      <c r="R795" s="1"/>
      <c r="S795" s="1"/>
      <c r="T795" s="1"/>
      <c r="U795" s="1"/>
      <c r="AJ795" s="2"/>
      <c r="AW795" s="7"/>
    </row>
    <row r="796" spans="1:49" x14ac:dyDescent="0.25">
      <c r="V796" s="1"/>
      <c r="W796" s="1"/>
      <c r="AW796" s="7"/>
    </row>
    <row r="797" spans="1:49" x14ac:dyDescent="0.25">
      <c r="A797" s="1"/>
      <c r="B797" s="1"/>
      <c r="C797" s="1"/>
      <c r="D797" s="64"/>
      <c r="E797" s="1"/>
      <c r="G797" s="1"/>
      <c r="H797" s="1"/>
      <c r="K797" s="64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AJ797" s="2"/>
      <c r="AW797" s="7"/>
    </row>
    <row r="798" spans="1:49" x14ac:dyDescent="0.25">
      <c r="A798" s="1"/>
      <c r="B798" s="1"/>
      <c r="C798" s="1"/>
      <c r="D798" s="64"/>
      <c r="E798" s="1"/>
      <c r="G798" s="1"/>
      <c r="H798" s="1"/>
      <c r="K798" s="64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AJ798" s="2"/>
    </row>
    <row r="799" spans="1:49" x14ac:dyDescent="0.25">
      <c r="A799" s="1"/>
      <c r="B799" s="1"/>
      <c r="C799" s="1"/>
      <c r="D799" s="64"/>
      <c r="E799" s="1"/>
      <c r="G799" s="1"/>
      <c r="H799" s="1"/>
      <c r="K799" s="64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AJ799" s="2"/>
      <c r="AW799" s="7"/>
    </row>
    <row r="800" spans="1:49" x14ac:dyDescent="0.25">
      <c r="A800" s="1"/>
      <c r="B800" s="1"/>
      <c r="C800" s="1"/>
      <c r="D800" s="64"/>
      <c r="E800" s="1"/>
      <c r="G800" s="1"/>
      <c r="H800" s="1"/>
      <c r="K800" s="64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AJ800" s="2"/>
      <c r="AW800" s="7"/>
    </row>
    <row r="801" spans="1:49" x14ac:dyDescent="0.25">
      <c r="A801" s="1"/>
      <c r="B801" s="1"/>
      <c r="C801" s="1"/>
      <c r="D801" s="64"/>
      <c r="E801" s="1"/>
      <c r="G801" s="1"/>
      <c r="H801" s="1"/>
      <c r="K801" s="64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AJ801" s="2"/>
      <c r="AW801" s="7"/>
    </row>
    <row r="802" spans="1:49" x14ac:dyDescent="0.25">
      <c r="A802" s="1"/>
      <c r="B802" s="1"/>
      <c r="C802" s="1"/>
      <c r="D802" s="64"/>
      <c r="E802" s="1"/>
      <c r="G802" s="1"/>
      <c r="H802" s="1"/>
      <c r="K802" s="64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AJ802" s="2"/>
      <c r="AW802" s="7"/>
    </row>
    <row r="803" spans="1:49" x14ac:dyDescent="0.25">
      <c r="A803" s="1"/>
      <c r="B803" s="1"/>
      <c r="C803" s="1"/>
      <c r="D803" s="64"/>
      <c r="E803" s="1"/>
      <c r="G803" s="1"/>
      <c r="H803" s="1"/>
      <c r="K803" s="64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AJ803" s="2"/>
      <c r="AW803" s="7"/>
    </row>
    <row r="804" spans="1:49" x14ac:dyDescent="0.25">
      <c r="A804" s="1"/>
      <c r="B804" s="1"/>
      <c r="C804" s="1"/>
      <c r="D804" s="64"/>
      <c r="E804" s="1"/>
      <c r="G804" s="1"/>
      <c r="H804" s="1"/>
      <c r="K804" s="64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AJ804" s="2"/>
      <c r="AW804" s="7"/>
    </row>
    <row r="805" spans="1:49" x14ac:dyDescent="0.25">
      <c r="A805" s="1"/>
      <c r="B805" s="1"/>
      <c r="C805" s="1"/>
      <c r="D805" s="64"/>
      <c r="E805" s="1"/>
      <c r="G805" s="1"/>
      <c r="H805" s="1"/>
      <c r="K805" s="64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AJ805" s="2"/>
      <c r="AW805" s="7"/>
    </row>
    <row r="806" spans="1:49" x14ac:dyDescent="0.25">
      <c r="A806" s="1"/>
      <c r="B806" s="1"/>
      <c r="C806" s="1"/>
      <c r="D806" s="64"/>
      <c r="E806" s="1"/>
      <c r="G806" s="1"/>
      <c r="H806" s="1"/>
      <c r="K806" s="64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AJ806" s="2"/>
      <c r="AW806" s="7"/>
    </row>
    <row r="807" spans="1:49" x14ac:dyDescent="0.25">
      <c r="A807" s="1"/>
      <c r="B807" s="1"/>
      <c r="C807" s="1"/>
      <c r="D807" s="64"/>
      <c r="E807" s="1"/>
      <c r="G807" s="1"/>
      <c r="H807" s="1"/>
      <c r="K807" s="64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AJ807" s="2"/>
      <c r="AW807" s="7"/>
    </row>
    <row r="808" spans="1:49" x14ac:dyDescent="0.25">
      <c r="A808" s="1"/>
      <c r="B808" s="1"/>
      <c r="C808" s="1"/>
      <c r="D808" s="64"/>
      <c r="E808" s="1"/>
      <c r="G808" s="1"/>
      <c r="H808" s="1"/>
      <c r="K808" s="64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AJ808" s="2"/>
      <c r="AW808" s="7"/>
    </row>
    <row r="809" spans="1:49" x14ac:dyDescent="0.25">
      <c r="A809" s="1"/>
      <c r="B809" s="1"/>
      <c r="C809" s="1"/>
      <c r="D809" s="64"/>
      <c r="E809" s="1"/>
      <c r="G809" s="1"/>
      <c r="H809" s="1"/>
      <c r="K809" s="64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AJ809" s="2"/>
      <c r="AW809" s="7"/>
    </row>
    <row r="810" spans="1:49" x14ac:dyDescent="0.25">
      <c r="A810" s="1"/>
      <c r="B810" s="1"/>
      <c r="C810" s="1"/>
      <c r="D810" s="64"/>
      <c r="E810" s="1"/>
      <c r="G810" s="1"/>
      <c r="H810" s="1"/>
      <c r="K810" s="64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AJ810" s="2"/>
      <c r="AW810" s="7"/>
    </row>
    <row r="811" spans="1:49" x14ac:dyDescent="0.25">
      <c r="A811" s="1"/>
      <c r="B811" s="1"/>
      <c r="C811" s="1"/>
      <c r="D811" s="64"/>
      <c r="E811" s="1"/>
      <c r="G811" s="1"/>
      <c r="H811" s="1"/>
      <c r="K811" s="64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AJ811" s="2"/>
      <c r="AW811" s="7"/>
    </row>
    <row r="812" spans="1:49" x14ac:dyDescent="0.25">
      <c r="A812" s="1"/>
      <c r="B812" s="1"/>
      <c r="C812" s="1"/>
      <c r="D812" s="64"/>
      <c r="E812" s="1"/>
      <c r="G812" s="1"/>
      <c r="H812" s="1"/>
      <c r="K812" s="64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AJ812" s="2"/>
      <c r="AW812" s="7"/>
    </row>
    <row r="813" spans="1:49" x14ac:dyDescent="0.25">
      <c r="A813" s="1"/>
      <c r="B813" s="1"/>
      <c r="C813" s="1"/>
      <c r="D813" s="64"/>
      <c r="E813" s="1"/>
      <c r="G813" s="1"/>
      <c r="H813" s="1"/>
      <c r="K813" s="64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AJ813" s="2"/>
      <c r="AW813" s="7"/>
    </row>
    <row r="814" spans="1:49" x14ac:dyDescent="0.25">
      <c r="A814" s="1"/>
      <c r="B814" s="1"/>
      <c r="C814" s="1"/>
      <c r="D814" s="64"/>
      <c r="E814" s="1"/>
      <c r="G814" s="1"/>
      <c r="H814" s="1"/>
      <c r="K814" s="64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AJ814" s="2"/>
      <c r="AW814" s="7"/>
    </row>
    <row r="815" spans="1:49" x14ac:dyDescent="0.25">
      <c r="A815" s="1"/>
      <c r="B815" s="1"/>
      <c r="C815" s="1"/>
      <c r="D815" s="64"/>
      <c r="E815" s="1"/>
      <c r="G815" s="1"/>
      <c r="H815" s="1"/>
      <c r="K815" s="64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AJ815" s="2"/>
      <c r="AW815" s="7"/>
    </row>
    <row r="816" spans="1:49" x14ac:dyDescent="0.25">
      <c r="A816" s="1"/>
      <c r="B816" s="1"/>
      <c r="C816" s="1"/>
      <c r="D816" s="64"/>
      <c r="E816" s="1"/>
      <c r="G816" s="1"/>
      <c r="H816" s="1"/>
      <c r="K816" s="64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AJ816" s="2"/>
      <c r="AW816" s="7"/>
    </row>
    <row r="817" spans="1:49" x14ac:dyDescent="0.25">
      <c r="A817" s="1"/>
      <c r="B817" s="1"/>
      <c r="C817" s="1"/>
      <c r="D817" s="64"/>
      <c r="E817" s="1"/>
      <c r="G817" s="1"/>
      <c r="H817" s="1"/>
      <c r="K817" s="64"/>
      <c r="L817" s="1"/>
      <c r="M817" s="1"/>
      <c r="N817" s="1"/>
      <c r="O817" s="1"/>
      <c r="P817" s="1"/>
      <c r="Q817" s="1"/>
      <c r="R817" s="1"/>
      <c r="S817" s="1"/>
      <c r="T817" s="1"/>
      <c r="U817" s="1"/>
      <c r="AJ817" s="2"/>
      <c r="AW817" s="7"/>
    </row>
    <row r="818" spans="1:49" x14ac:dyDescent="0.25">
      <c r="V818" s="1"/>
      <c r="W818" s="1"/>
      <c r="AW818" s="7"/>
    </row>
    <row r="819" spans="1:49" x14ac:dyDescent="0.25">
      <c r="A819" s="1"/>
      <c r="B819" s="1"/>
      <c r="C819" s="1"/>
      <c r="D819" s="64"/>
      <c r="E819" s="1"/>
      <c r="G819" s="1"/>
      <c r="H819" s="1"/>
      <c r="K819" s="64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AJ819" s="2"/>
      <c r="AW819" s="7"/>
    </row>
    <row r="820" spans="1:49" x14ac:dyDescent="0.25">
      <c r="A820" s="1"/>
      <c r="B820" s="1"/>
      <c r="C820" s="1"/>
      <c r="D820" s="64"/>
      <c r="E820" s="1"/>
      <c r="G820" s="1"/>
      <c r="H820" s="1"/>
      <c r="K820" s="64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AJ820" s="2"/>
    </row>
    <row r="821" spans="1:49" x14ac:dyDescent="0.25">
      <c r="A821" s="1"/>
      <c r="B821" s="1"/>
      <c r="C821" s="1"/>
      <c r="D821" s="64"/>
      <c r="E821" s="1"/>
      <c r="G821" s="1"/>
      <c r="H821" s="1"/>
      <c r="K821" s="64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AJ821" s="2"/>
    </row>
    <row r="822" spans="1:49" x14ac:dyDescent="0.25">
      <c r="A822" s="1"/>
      <c r="B822" s="1"/>
      <c r="C822" s="1"/>
      <c r="D822" s="64"/>
      <c r="E822" s="1"/>
      <c r="G822" s="1"/>
      <c r="H822" s="1"/>
      <c r="K822" s="64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AJ822" s="2"/>
    </row>
    <row r="823" spans="1:49" x14ac:dyDescent="0.25">
      <c r="A823" s="1"/>
      <c r="B823" s="1"/>
      <c r="C823" s="1"/>
      <c r="D823" s="64"/>
      <c r="E823" s="1"/>
      <c r="G823" s="1"/>
      <c r="H823" s="1"/>
      <c r="K823" s="64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AJ823" s="2"/>
    </row>
    <row r="824" spans="1:49" x14ac:dyDescent="0.25">
      <c r="A824" s="1"/>
      <c r="B824" s="1"/>
      <c r="C824" s="1"/>
      <c r="D824" s="64"/>
      <c r="E824" s="1"/>
      <c r="G824" s="1"/>
      <c r="H824" s="1"/>
      <c r="K824" s="64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AJ824" s="2"/>
    </row>
    <row r="825" spans="1:49" x14ac:dyDescent="0.25">
      <c r="A825" s="1"/>
      <c r="B825" s="1"/>
      <c r="C825" s="1"/>
      <c r="D825" s="64"/>
      <c r="E825" s="1"/>
      <c r="G825" s="1"/>
      <c r="H825" s="1"/>
      <c r="K825" s="64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AJ825" s="2"/>
    </row>
    <row r="826" spans="1:49" x14ac:dyDescent="0.25">
      <c r="A826" s="1"/>
      <c r="B826" s="1"/>
      <c r="C826" s="1"/>
      <c r="D826" s="64"/>
      <c r="E826" s="1"/>
      <c r="G826" s="1"/>
      <c r="H826" s="1"/>
      <c r="K826" s="64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AJ826" s="2"/>
    </row>
    <row r="827" spans="1:49" x14ac:dyDescent="0.25">
      <c r="A827" s="1"/>
      <c r="B827" s="1"/>
      <c r="C827" s="1"/>
      <c r="D827" s="64"/>
      <c r="E827" s="1"/>
      <c r="G827" s="1"/>
      <c r="H827" s="1"/>
      <c r="K827" s="64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AJ827" s="2"/>
    </row>
    <row r="828" spans="1:49" x14ac:dyDescent="0.25">
      <c r="A828" s="1"/>
      <c r="B828" s="1"/>
      <c r="C828" s="1"/>
      <c r="D828" s="64"/>
      <c r="E828" s="1"/>
      <c r="G828" s="1"/>
      <c r="H828" s="1"/>
      <c r="K828" s="64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AJ828" s="2"/>
    </row>
    <row r="829" spans="1:49" x14ac:dyDescent="0.25">
      <c r="A829" s="1"/>
      <c r="B829" s="1"/>
      <c r="C829" s="1"/>
      <c r="D829" s="64"/>
      <c r="E829" s="1"/>
      <c r="G829" s="1"/>
      <c r="H829" s="1"/>
      <c r="K829" s="64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AJ829" s="2"/>
    </row>
    <row r="830" spans="1:49" x14ac:dyDescent="0.25">
      <c r="A830" s="1"/>
      <c r="B830" s="1"/>
      <c r="C830" s="1"/>
      <c r="D830" s="64"/>
      <c r="E830" s="1"/>
      <c r="G830" s="1"/>
      <c r="H830" s="1"/>
      <c r="K830" s="64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AJ830" s="2"/>
    </row>
    <row r="831" spans="1:49" x14ac:dyDescent="0.25">
      <c r="A831" s="1"/>
      <c r="B831" s="1"/>
      <c r="C831" s="1"/>
      <c r="D831" s="64"/>
      <c r="E831" s="1"/>
      <c r="G831" s="1"/>
      <c r="H831" s="1"/>
      <c r="K831" s="64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AJ831" s="2"/>
    </row>
    <row r="832" spans="1:49" x14ac:dyDescent="0.25">
      <c r="A832" s="1"/>
      <c r="B832" s="1"/>
      <c r="C832" s="1"/>
      <c r="D832" s="64"/>
      <c r="E832" s="1"/>
      <c r="G832" s="1"/>
      <c r="H832" s="1"/>
      <c r="K832" s="64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AJ832" s="2"/>
    </row>
    <row r="833" spans="1:36" x14ac:dyDescent="0.25">
      <c r="A833" s="1"/>
      <c r="B833" s="1"/>
      <c r="C833" s="1"/>
      <c r="D833" s="64"/>
      <c r="E833" s="1"/>
      <c r="G833" s="1"/>
      <c r="H833" s="1"/>
      <c r="K833" s="64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AJ833" s="2"/>
    </row>
    <row r="834" spans="1:36" x14ac:dyDescent="0.25">
      <c r="A834" s="1"/>
      <c r="B834" s="1"/>
      <c r="C834" s="1"/>
      <c r="D834" s="64"/>
      <c r="E834" s="1"/>
      <c r="G834" s="1"/>
      <c r="H834" s="1"/>
      <c r="K834" s="64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AJ834" s="2"/>
    </row>
    <row r="835" spans="1:36" x14ac:dyDescent="0.25">
      <c r="A835" s="1"/>
      <c r="B835" s="1"/>
      <c r="C835" s="1"/>
      <c r="D835" s="64"/>
      <c r="E835" s="1"/>
      <c r="G835" s="1"/>
      <c r="H835" s="1"/>
      <c r="K835" s="64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AJ835" s="2"/>
    </row>
    <row r="836" spans="1:36" x14ac:dyDescent="0.25">
      <c r="A836" s="1"/>
      <c r="B836" s="1"/>
      <c r="C836" s="1"/>
      <c r="D836" s="64"/>
      <c r="E836" s="1"/>
      <c r="G836" s="1"/>
      <c r="H836" s="1"/>
      <c r="K836" s="64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AJ836" s="2"/>
    </row>
    <row r="837" spans="1:36" x14ac:dyDescent="0.25">
      <c r="A837" s="1"/>
      <c r="B837" s="1"/>
      <c r="C837" s="1"/>
      <c r="D837" s="64"/>
      <c r="E837" s="1"/>
      <c r="G837" s="1"/>
      <c r="H837" s="1"/>
      <c r="K837" s="64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AJ837" s="2"/>
    </row>
    <row r="838" spans="1:36" x14ac:dyDescent="0.25">
      <c r="A838" s="1"/>
      <c r="B838" s="1"/>
      <c r="C838" s="1"/>
      <c r="D838" s="64"/>
      <c r="E838" s="1"/>
      <c r="G838" s="1"/>
      <c r="H838" s="1"/>
      <c r="K838" s="64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AJ838" s="2"/>
    </row>
    <row r="839" spans="1:36" x14ac:dyDescent="0.25">
      <c r="A839" s="1"/>
      <c r="B839" s="1"/>
      <c r="C839" s="1"/>
      <c r="D839" s="64"/>
      <c r="E839" s="1"/>
      <c r="G839" s="1"/>
      <c r="H839" s="1"/>
      <c r="K839" s="64"/>
      <c r="L839" s="1"/>
      <c r="M839" s="1"/>
      <c r="N839" s="1"/>
      <c r="O839" s="1"/>
      <c r="P839" s="1"/>
      <c r="Q839" s="1"/>
      <c r="R839" s="1"/>
      <c r="S839" s="1"/>
      <c r="T839" s="1"/>
      <c r="U839" s="1"/>
      <c r="AJ839" s="2"/>
    </row>
  </sheetData>
  <mergeCells count="36">
    <mergeCell ref="F267:I267"/>
    <mergeCell ref="AN24:AU24"/>
    <mergeCell ref="F377:I377"/>
    <mergeCell ref="F355:I355"/>
    <mergeCell ref="F366:I366"/>
    <mergeCell ref="F278:I278"/>
    <mergeCell ref="F289:I289"/>
    <mergeCell ref="F322:I322"/>
    <mergeCell ref="F333:I333"/>
    <mergeCell ref="F344:I344"/>
    <mergeCell ref="F300:I300"/>
    <mergeCell ref="F311:I311"/>
    <mergeCell ref="F91:I91"/>
    <mergeCell ref="F146:I146"/>
    <mergeCell ref="F113:I113"/>
    <mergeCell ref="F124:I124"/>
    <mergeCell ref="F102:I102"/>
    <mergeCell ref="F135:I135"/>
    <mergeCell ref="F234:I234"/>
    <mergeCell ref="F157:I157"/>
    <mergeCell ref="F168:I168"/>
    <mergeCell ref="F245:I245"/>
    <mergeCell ref="F256:I256"/>
    <mergeCell ref="F179:I179"/>
    <mergeCell ref="F190:I190"/>
    <mergeCell ref="F201:I201"/>
    <mergeCell ref="F212:I212"/>
    <mergeCell ref="F223:I223"/>
    <mergeCell ref="F3:I3"/>
    <mergeCell ref="F25:I25"/>
    <mergeCell ref="F58:I58"/>
    <mergeCell ref="F69:I69"/>
    <mergeCell ref="F80:I80"/>
    <mergeCell ref="F47:I47"/>
    <mergeCell ref="F14:I14"/>
    <mergeCell ref="F36:I36"/>
  </mergeCells>
  <dataValidations disablePrompts="1" count="1">
    <dataValidation type="list" allowBlank="1" showInputMessage="1" showErrorMessage="1" sqref="AV24" xr:uid="{08B467D2-6DB0-4BC1-BD0F-941541FB49C6}">
      <formula1>journee</formula1>
    </dataValidation>
  </dataValidations>
  <pageMargins left="0.7" right="0.7" top="0.75" bottom="0.75" header="0.3" footer="0.3"/>
  <pageSetup paperSize="9" scale="85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37</xdr:col>
                <xdr:colOff>19050</xdr:colOff>
                <xdr:row>0</xdr:row>
                <xdr:rowOff>38100</xdr:rowOff>
              </from>
              <to>
                <xdr:col>38</xdr:col>
                <xdr:colOff>257175</xdr:colOff>
                <xdr:row>1</xdr:row>
                <xdr:rowOff>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F51B8-B324-462D-B664-E8DE030B63C2}">
  <sheetPr codeName="Feuil10"/>
  <dimension ref="B4:AJ26"/>
  <sheetViews>
    <sheetView showGridLines="0" showRowColHeaders="0" zoomScale="115" zoomScaleNormal="115" workbookViewId="0">
      <selection activeCell="F16" sqref="F16"/>
    </sheetView>
  </sheetViews>
  <sheetFormatPr baseColWidth="10" defaultRowHeight="15.75" x14ac:dyDescent="0.25"/>
  <cols>
    <col min="1" max="1" width="5.85546875" style="23" customWidth="1"/>
    <col min="2" max="2" width="28.28515625" style="25" customWidth="1"/>
    <col min="3" max="36" width="5.7109375" style="25" customWidth="1"/>
    <col min="37" max="16384" width="11.42578125" style="23"/>
  </cols>
  <sheetData>
    <row r="4" spans="2:36" x14ac:dyDescent="0.25">
      <c r="C4" s="24">
        <v>1</v>
      </c>
      <c r="D4" s="24">
        <v>2</v>
      </c>
      <c r="E4" s="24">
        <v>3</v>
      </c>
      <c r="F4" s="24">
        <v>4</v>
      </c>
      <c r="G4" s="24">
        <v>5</v>
      </c>
      <c r="H4" s="24">
        <v>6</v>
      </c>
      <c r="I4" s="24">
        <v>7</v>
      </c>
      <c r="J4" s="24">
        <v>8</v>
      </c>
      <c r="K4" s="24">
        <v>9</v>
      </c>
      <c r="L4" s="24">
        <v>10</v>
      </c>
      <c r="M4" s="24">
        <v>11</v>
      </c>
      <c r="N4" s="24">
        <v>12</v>
      </c>
      <c r="O4" s="24">
        <v>13</v>
      </c>
      <c r="P4" s="24">
        <v>14</v>
      </c>
      <c r="Q4" s="24">
        <v>15</v>
      </c>
      <c r="R4" s="24">
        <v>16</v>
      </c>
      <c r="S4" s="24">
        <v>17</v>
      </c>
      <c r="T4" s="24">
        <v>18</v>
      </c>
      <c r="U4" s="24">
        <v>19</v>
      </c>
      <c r="V4" s="24">
        <v>20</v>
      </c>
      <c r="W4" s="24">
        <v>21</v>
      </c>
      <c r="X4" s="24">
        <v>22</v>
      </c>
      <c r="Y4" s="24">
        <v>23</v>
      </c>
      <c r="Z4" s="24">
        <v>24</v>
      </c>
      <c r="AA4" s="24">
        <v>25</v>
      </c>
      <c r="AB4" s="24">
        <v>26</v>
      </c>
      <c r="AC4" s="24">
        <v>27</v>
      </c>
      <c r="AD4" s="24">
        <v>28</v>
      </c>
      <c r="AE4" s="24">
        <v>29</v>
      </c>
      <c r="AF4" s="24">
        <v>30</v>
      </c>
      <c r="AG4" s="24">
        <v>31</v>
      </c>
      <c r="AH4" s="24">
        <v>32</v>
      </c>
      <c r="AI4" s="24">
        <v>33</v>
      </c>
      <c r="AJ4" s="24">
        <v>34</v>
      </c>
    </row>
    <row r="5" spans="2:36" x14ac:dyDescent="0.25">
      <c r="B5" s="10" t="s">
        <v>90</v>
      </c>
      <c r="C5" s="66">
        <f ca="1">IF($B5="","",VLOOKUP($B5,$B9:$AJ26,2,0))</f>
        <v>16</v>
      </c>
      <c r="D5" s="66">
        <f ca="1">IF($B5="","",VLOOKUP($B5,$B9:$AJ26,3,0))</f>
        <v>18</v>
      </c>
      <c r="E5" s="66">
        <f ca="1">IF($B5="","",VLOOKUP($B5,$B9:$AJ26,4,0))</f>
        <v>18</v>
      </c>
      <c r="F5" s="66">
        <f ca="1">IF($B5="","",VLOOKUP($B5,$B9:$AJ26,5,0))</f>
        <v>15</v>
      </c>
      <c r="G5" s="66">
        <f ca="1">IF($B5="","",VLOOKUP($B5,$B9:$AJ26,6,0))</f>
        <v>17</v>
      </c>
      <c r="H5" s="66">
        <f ca="1">IF($B5="","",VLOOKUP($B5,$B9:$AJ26,7,0))</f>
        <v>16</v>
      </c>
      <c r="I5" s="66">
        <f ca="1">IF($B5="","",VLOOKUP($B5,$B9:$AJ26,8,0))</f>
        <v>13</v>
      </c>
      <c r="J5" s="66">
        <f ca="1">IF($B5="","",VLOOKUP($B5,$B9:$AJ26,9,0))</f>
        <v>17</v>
      </c>
      <c r="K5" s="66">
        <f ca="1">IF($B5="","",VLOOKUP($B5,$B9:$AJ26,10,0))</f>
        <v>13</v>
      </c>
      <c r="L5" s="66">
        <f ca="1">IF($B5="","",VLOOKUP($B5,$B9:$AJ26,11,0))</f>
        <v>15</v>
      </c>
      <c r="M5" s="66">
        <f ca="1">IF($B5="","",VLOOKUP($B5,$B9:$AJ26,12,0))</f>
        <v>16</v>
      </c>
      <c r="N5" s="66">
        <f ca="1">IF($B5="","",VLOOKUP($B5,$B9:$AJ26,13,0))</f>
        <v>13</v>
      </c>
      <c r="O5" s="66">
        <f ca="1">IF($B5="","",VLOOKUP($B5,$B9:$AJ26,14,0))</f>
        <v>12</v>
      </c>
      <c r="P5" s="66">
        <f ca="1">IF($B5="","",VLOOKUP($B5,$B9:$AJ26,15,0))</f>
        <v>13</v>
      </c>
      <c r="Q5" s="66">
        <f ca="1">IF($B5="","",VLOOKUP($B5,$B9:$AJ26,16,0))</f>
        <v>14</v>
      </c>
      <c r="R5" s="66">
        <f ca="1">IF($B5="","",VLOOKUP($B5,$B9:$AJ26,17,0))</f>
        <v>14</v>
      </c>
      <c r="S5" s="66">
        <f ca="1">IF($B5="","",VLOOKUP($B5,$B9:$AJ26,18,0))</f>
        <v>14</v>
      </c>
      <c r="T5" s="66">
        <f ca="1">IF($B5="","",VLOOKUP($B5,$B9:$AJ26,19,0))</f>
        <v>15</v>
      </c>
      <c r="U5" s="66">
        <f ca="1">IF($B5="","",VLOOKUP($B5,$B9:$AJ26,20,0))</f>
        <v>15</v>
      </c>
      <c r="V5" s="66">
        <f ca="1">IF($B5="","",VLOOKUP($B5,$B9:$AJ26,21,0))</f>
        <v>15</v>
      </c>
      <c r="W5" s="66">
        <f ca="1">IF($B5="","",VLOOKUP($B5,$B9:$AJ26,22,0))</f>
        <v>15</v>
      </c>
      <c r="X5" s="66">
        <f ca="1">IF($B5="","",VLOOKUP($B5,$B9:$AJ26,23,0))</f>
        <v>15</v>
      </c>
      <c r="Y5" s="66">
        <f ca="1">IF($B5="","",VLOOKUP($B5,$B9:$AJ26,24,0))</f>
        <v>15</v>
      </c>
      <c r="Z5" s="66">
        <f ca="1">IF($B5="","",VLOOKUP($B5,$B9:$AJ26,25,0))</f>
        <v>15</v>
      </c>
      <c r="AA5" s="66" t="str">
        <f ca="1">IF($B5="","",VLOOKUP($B5,$B9:$AJ26,26,0))</f>
        <v/>
      </c>
      <c r="AB5" s="66" t="str">
        <f ca="1">IF($B5="","",VLOOKUP($B5,$B9:$AJ26,27,0))</f>
        <v/>
      </c>
      <c r="AC5" s="66" t="str">
        <f ca="1">IF($B5="","",VLOOKUP($B5,$B9:$AJ26,28,0))</f>
        <v/>
      </c>
      <c r="AD5" s="66" t="str">
        <f ca="1">IF($B5="","",VLOOKUP($B5,$B9:$AJ26,29,0))</f>
        <v/>
      </c>
      <c r="AE5" s="66" t="str">
        <f ca="1">IF($B5="","",VLOOKUP($B5,$B9:$AJ26,30,0))</f>
        <v/>
      </c>
      <c r="AF5" s="66" t="str">
        <f ca="1">IF($B5="","",VLOOKUP($B5,$B9:$AJ26,31,0))</f>
        <v/>
      </c>
      <c r="AG5" s="66" t="str">
        <f ca="1">IF($B5="","",VLOOKUP($B5,$B9:$AJ26,32,0))</f>
        <v/>
      </c>
      <c r="AH5" s="66" t="str">
        <f ca="1">IF($B5="","",VLOOKUP($B5,$B9:$AJ26,33,0))</f>
        <v/>
      </c>
      <c r="AI5" s="66" t="str">
        <f ca="1">IF($B5="","",VLOOKUP($B5,$B9:$AJ26,34,0))</f>
        <v/>
      </c>
      <c r="AJ5" s="66" t="str">
        <f ca="1">IF($B5="","",VLOOKUP($B5,$B9:$AJ26,35,0))</f>
        <v/>
      </c>
    </row>
    <row r="6" spans="2:36" x14ac:dyDescent="0.25"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</row>
    <row r="7" spans="2:36" x14ac:dyDescent="0.25"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</row>
    <row r="8" spans="2:36" x14ac:dyDescent="0.25">
      <c r="B8" s="50"/>
      <c r="C8" s="59">
        <v>1</v>
      </c>
      <c r="D8" s="59">
        <v>2</v>
      </c>
      <c r="E8" s="59">
        <v>3</v>
      </c>
      <c r="F8" s="59">
        <v>4</v>
      </c>
      <c r="G8" s="59">
        <v>5</v>
      </c>
      <c r="H8" s="59">
        <v>6</v>
      </c>
      <c r="I8" s="59">
        <v>7</v>
      </c>
      <c r="J8" s="59">
        <v>8</v>
      </c>
      <c r="K8" s="59">
        <v>9</v>
      </c>
      <c r="L8" s="59">
        <v>10</v>
      </c>
      <c r="M8" s="59">
        <v>11</v>
      </c>
      <c r="N8" s="59">
        <v>12</v>
      </c>
      <c r="O8" s="59">
        <v>13</v>
      </c>
      <c r="P8" s="59">
        <v>14</v>
      </c>
      <c r="Q8" s="59">
        <v>15</v>
      </c>
      <c r="R8" s="59">
        <v>16</v>
      </c>
      <c r="S8" s="59">
        <v>17</v>
      </c>
      <c r="T8" s="59">
        <v>18</v>
      </c>
      <c r="U8" s="59">
        <v>19</v>
      </c>
      <c r="V8" s="59">
        <v>20</v>
      </c>
      <c r="W8" s="59">
        <v>21</v>
      </c>
      <c r="X8" s="59">
        <v>22</v>
      </c>
      <c r="Y8" s="59">
        <v>23</v>
      </c>
      <c r="Z8" s="59">
        <v>24</v>
      </c>
      <c r="AA8" s="59">
        <v>25</v>
      </c>
      <c r="AB8" s="59">
        <v>26</v>
      </c>
      <c r="AC8" s="59">
        <v>27</v>
      </c>
      <c r="AD8" s="59">
        <v>28</v>
      </c>
      <c r="AE8" s="59">
        <v>29</v>
      </c>
      <c r="AF8" s="59">
        <v>30</v>
      </c>
      <c r="AG8" s="59">
        <v>31</v>
      </c>
      <c r="AH8" s="59">
        <v>32</v>
      </c>
      <c r="AI8" s="59">
        <v>33</v>
      </c>
      <c r="AJ8" s="59">
        <v>34</v>
      </c>
    </row>
    <row r="9" spans="2:36" x14ac:dyDescent="0.25">
      <c r="B9" s="59" t="str">
        <f>CONCATENATE(EQUIPES!F6)</f>
        <v>1. FC Köln</v>
      </c>
      <c r="C9" s="68">
        <f ca="1">IF(COUNTA(OFFSET(BUNDESLIGA!$G$1:$H$1,11*(C$8-1)+2,0,9))=0,"",INDEX(OFFSET(BUNDESLIGA!$W$3:$W$20,20*C$8+2,0),COUNTA($B$9:$B9)))</f>
        <v>13</v>
      </c>
      <c r="D9" s="68">
        <f ca="1">IF(COUNTA(OFFSET(BUNDESLIGA!$G$1:$H$1,11*(D$8-1)+2,0,9))=0,"",INDEX(OFFSET(BUNDESLIGA!$W$3:$W$20,20*D$8+2,0),COUNTA($B$9:$B9)))</f>
        <v>17</v>
      </c>
      <c r="E9" s="68">
        <f ca="1">IF(COUNTA(OFFSET(BUNDESLIGA!$G$1:$H$1,11*(E$8-1)+2,0,9))=0,"",INDEX(OFFSET(BUNDESLIGA!$W$3:$W$20,20*E$8+2,0),COUNTA($B$9:$B9)))</f>
        <v>14</v>
      </c>
      <c r="F9" s="68">
        <f ca="1">IF(COUNTA(OFFSET(BUNDESLIGA!$G$1:$H$1,11*(F$8-1)+2,0,9))=0,"",INDEX(OFFSET(BUNDESLIGA!$W$3:$W$20,20*F$8+2,0),COUNTA($B$9:$B9)))</f>
        <v>14</v>
      </c>
      <c r="G9" s="68">
        <f ca="1">IF(COUNTA(OFFSET(BUNDESLIGA!$G$1:$H$1,11*(G$8-1)+2,0,9))=0,"",INDEX(OFFSET(BUNDESLIGA!$W$3:$W$20,20*G$8+2,0),COUNTA($B$9:$B9)))</f>
        <v>16</v>
      </c>
      <c r="H9" s="68">
        <f ca="1">IF(COUNTA(OFFSET(BUNDESLIGA!$G$1:$H$1,11*(H$8-1)+2,0,9))=0,"",INDEX(OFFSET(BUNDESLIGA!$W$3:$W$20,20*H$8+2,0),COUNTA($B$9:$B9)))</f>
        <v>17</v>
      </c>
      <c r="I9" s="68">
        <f ca="1">IF(COUNTA(OFFSET(BUNDESLIGA!$G$1:$H$1,11*(I$8-1)+2,0,9))=0,"",INDEX(OFFSET(BUNDESLIGA!$W$3:$W$20,20*I$8+2,0),COUNTA($B$9:$B9)))</f>
        <v>17</v>
      </c>
      <c r="J9" s="68">
        <f ca="1">IF(COUNTA(OFFSET(BUNDESLIGA!$G$1:$H$1,11*(J$8-1)+2,0,9))=0,"",INDEX(OFFSET(BUNDESLIGA!$W$3:$W$20,20*J$8+2,0),COUNTA($B$9:$B9)))</f>
        <v>15</v>
      </c>
      <c r="K9" s="68">
        <f ca="1">IF(COUNTA(OFFSET(BUNDESLIGA!$G$1:$H$1,11*(K$8-1)+2,0,9))=0,"",INDEX(OFFSET(BUNDESLIGA!$W$3:$W$20,20*K$8+2,0),COUNTA($B$9:$B9)))</f>
        <v>16</v>
      </c>
      <c r="L9" s="68">
        <f ca="1">IF(COUNTA(OFFSET(BUNDESLIGA!$G$1:$H$1,11*(L$8-1)+2,0,9))=0,"",INDEX(OFFSET(BUNDESLIGA!$W$3:$W$20,20*L$8+2,0),COUNTA($B$9:$B9)))</f>
        <v>17</v>
      </c>
      <c r="M9" s="68">
        <f ca="1">IF(COUNTA(OFFSET(BUNDESLIGA!$G$1:$H$1,11*(M$8-1)+2,0,9))=0,"",INDEX(OFFSET(BUNDESLIGA!$W$3:$W$20,20*M$8+2,0),COUNTA($B$9:$B9)))</f>
        <v>17</v>
      </c>
      <c r="N9" s="68">
        <f ca="1">IF(COUNTA(OFFSET(BUNDESLIGA!$G$1:$H$1,11*(N$8-1)+2,0,9))=0,"",INDEX(OFFSET(BUNDESLIGA!$W$3:$W$20,20*N$8+2,0),COUNTA($B$9:$B9)))</f>
        <v>17</v>
      </c>
      <c r="O9" s="68">
        <f ca="1">IF(COUNTA(OFFSET(BUNDESLIGA!$G$1:$H$1,11*(O$8-1)+2,0,9))=0,"",INDEX(OFFSET(BUNDESLIGA!$W$3:$W$20,20*O$8+2,0),COUNTA($B$9:$B9)))</f>
        <v>17</v>
      </c>
      <c r="P9" s="68">
        <f ca="1">IF(COUNTA(OFFSET(BUNDESLIGA!$G$1:$H$1,11*(P$8-1)+2,0,9))=0,"",INDEX(OFFSET(BUNDESLIGA!$W$3:$W$20,20*P$8+2,0),COUNTA($B$9:$B9)))</f>
        <v>18</v>
      </c>
      <c r="Q9" s="68">
        <f ca="1">IF(COUNTA(OFFSET(BUNDESLIGA!$G$1:$H$1,11*(Q$8-1)+2,0,9))=0,"",INDEX(OFFSET(BUNDESLIGA!$W$3:$W$20,20*Q$8+2,0),COUNTA($B$9:$B9)))</f>
        <v>17</v>
      </c>
      <c r="R9" s="68">
        <f ca="1">IF(COUNTA(OFFSET(BUNDESLIGA!$G$1:$H$1,11*(R$8-1)+2,0,9))=0,"",INDEX(OFFSET(BUNDESLIGA!$W$3:$W$20,20*R$8+2,0),COUNTA($B$9:$B9)))</f>
        <v>15</v>
      </c>
      <c r="S9" s="68">
        <f ca="1">IF(COUNTA(OFFSET(BUNDESLIGA!$G$1:$H$1,11*(S$8-1)+2,0,9))=0,"",INDEX(OFFSET(BUNDESLIGA!$W$3:$W$20,20*S$8+2,0),COUNTA($B$9:$B9)))</f>
        <v>15</v>
      </c>
      <c r="T9" s="68">
        <f ca="1">IF(COUNTA(OFFSET(BUNDESLIGA!$G$1:$H$1,11*(T$8-1)+2,0,9))=0,"",INDEX(OFFSET(BUNDESLIGA!$W$3:$W$20,20*T$8+2,0),COUNTA($B$9:$B9)))</f>
        <v>13</v>
      </c>
      <c r="U9" s="68">
        <f ca="1">IF(COUNTA(OFFSET(BUNDESLIGA!$G$1:$H$1,11*(U$8-1)+2,0,9))=0,"",INDEX(OFFSET(BUNDESLIGA!$W$3:$W$20,20*U$8+2,0),COUNTA($B$9:$B9)))</f>
        <v>14</v>
      </c>
      <c r="V9" s="68">
        <f ca="1">IF(COUNTA(OFFSET(BUNDESLIGA!$G$1:$H$1,11*(V$8-1)+2,0,9))=0,"",INDEX(OFFSET(BUNDESLIGA!$W$3:$W$20,20*V$8+2,0),COUNTA($B$9:$B9)))</f>
        <v>14</v>
      </c>
      <c r="W9" s="68">
        <f ca="1">IF(COUNTA(OFFSET(BUNDESLIGA!$G$1:$H$1,11*(W$8-1)+2,0,9))=0,"",INDEX(OFFSET(BUNDESLIGA!$W$3:$W$20,20*W$8+2,0),COUNTA($B$9:$B9)))</f>
        <v>13</v>
      </c>
      <c r="X9" s="68">
        <f ca="1">IF(COUNTA(OFFSET(BUNDESLIGA!$G$1:$H$1,11*(X$8-1)+2,0,9))=0,"",INDEX(OFFSET(BUNDESLIGA!$W$3:$W$20,20*X$8+2,0),COUNTA($B$9:$B9)))</f>
        <v>14</v>
      </c>
      <c r="Y9" s="68">
        <f ca="1">IF(COUNTA(OFFSET(BUNDESLIGA!$G$1:$H$1,11*(Y$8-1)+2,0,9))=0,"",INDEX(OFFSET(BUNDESLIGA!$W$3:$W$20,20*Y$8+2,0),COUNTA($B$9:$B9)))</f>
        <v>13</v>
      </c>
      <c r="Z9" s="68">
        <f ca="1">IF(COUNTA(OFFSET(BUNDESLIGA!$G$1:$H$1,11*(Z$8-1)+2,0,9))=0,"",INDEX(OFFSET(BUNDESLIGA!$W$3:$W$20,20*Z$8+2,0),COUNTA($B$9:$B9)))</f>
        <v>11</v>
      </c>
      <c r="AA9" s="68" t="str">
        <f ca="1">IF(COUNTA(OFFSET(BUNDESLIGA!$G$1:$H$1,11*(AA$8-1)+2,0,9))=0,"",INDEX(OFFSET(BUNDESLIGA!$W$3:$W$20,20*AA$8+2,0),COUNTA($B$9:$B9)))</f>
        <v/>
      </c>
      <c r="AB9" s="68" t="str">
        <f ca="1">IF(COUNTA(OFFSET(BUNDESLIGA!$G$1:$H$1,11*(AB$8-1)+2,0,9))=0,"",INDEX(OFFSET(BUNDESLIGA!$W$3:$W$20,20*AB$8+2,0),COUNTA($B$9:$B9)))</f>
        <v/>
      </c>
      <c r="AC9" s="68" t="str">
        <f ca="1">IF(COUNTA(OFFSET(BUNDESLIGA!$G$1:$H$1,11*(AC$8-1)+2,0,9))=0,"",INDEX(OFFSET(BUNDESLIGA!$W$3:$W$20,20*AC$8+2,0),COUNTA($B$9:$B9)))</f>
        <v/>
      </c>
      <c r="AD9" s="68" t="str">
        <f ca="1">IF(COUNTA(OFFSET(BUNDESLIGA!$G$1:$H$1,11*(AD$8-1)+2,0,9))=0,"",INDEX(OFFSET(BUNDESLIGA!$W$3:$W$20,20*AD$8+2,0),COUNTA($B$9:$B9)))</f>
        <v/>
      </c>
      <c r="AE9" s="68" t="str">
        <f ca="1">IF(COUNTA(OFFSET(BUNDESLIGA!$G$1:$H$1,11*(AE$8-1)+2,0,9))=0,"",INDEX(OFFSET(BUNDESLIGA!$W$3:$W$20,20*AE$8+2,0),COUNTA($B$9:$B9)))</f>
        <v/>
      </c>
      <c r="AF9" s="68" t="str">
        <f ca="1">IF(COUNTA(OFFSET(BUNDESLIGA!$G$1:$H$1,11*(AF$8-1)+2,0,9))=0,"",INDEX(OFFSET(BUNDESLIGA!$W$3:$W$20,20*AF$8+2,0),COUNTA($B$9:$B9)))</f>
        <v/>
      </c>
      <c r="AG9" s="68" t="str">
        <f ca="1">IF(COUNTA(OFFSET(BUNDESLIGA!$G$1:$H$1,11*(AG$8-1)+2,0,9))=0,"",INDEX(OFFSET(BUNDESLIGA!$W$3:$W$20,20*AG$8+2,0),COUNTA($B$9:$B9)))</f>
        <v/>
      </c>
      <c r="AH9" s="68" t="str">
        <f ca="1">IF(COUNTA(OFFSET(BUNDESLIGA!$G$1:$H$1,11*(AH$8-1)+2,0,9))=0,"",INDEX(OFFSET(BUNDESLIGA!$W$3:$W$20,20*AH$8+2,0),COUNTA($B$9:$B9)))</f>
        <v/>
      </c>
      <c r="AI9" s="68" t="str">
        <f ca="1">IF(COUNTA(OFFSET(BUNDESLIGA!$G$1:$H$1,11*(AI$8-1)+2,0,9))=0,"",INDEX(OFFSET(BUNDESLIGA!$W$3:$W$20,20*AI$8+2,0),COUNTA($B$9:$B9)))</f>
        <v/>
      </c>
      <c r="AJ9" s="68" t="str">
        <f ca="1">IF(COUNTA(OFFSET(BUNDESLIGA!$G$1:$H$1,11*(AJ$8-1)+2,0,9))=0,"",INDEX(OFFSET(BUNDESLIGA!$W$3:$W$20,20*AJ$8+2,0),COUNTA($B$9:$B9)))</f>
        <v/>
      </c>
    </row>
    <row r="10" spans="2:36" x14ac:dyDescent="0.25">
      <c r="B10" s="59" t="str">
        <f>CONCATENATE(EQUIPES!F7)</f>
        <v>1. FC Union Berlin</v>
      </c>
      <c r="C10" s="68">
        <f ca="1">IF(COUNTA(OFFSET(BUNDESLIGA!$G$1:$H$1,11*(C$8-1)+2,0,9))=0,"",INDEX(OFFSET(BUNDESLIGA!$W$3:$W$20,20*C$8+2,0),COUNTA($B$9:$B10)))</f>
        <v>18</v>
      </c>
      <c r="D10" s="68">
        <f ca="1">IF(COUNTA(OFFSET(BUNDESLIGA!$G$1:$H$1,11*(D$8-1)+2,0,9))=0,"",INDEX(OFFSET(BUNDESLIGA!$W$3:$W$20,20*D$8+2,0),COUNTA($B$9:$B10)))</f>
        <v>14</v>
      </c>
      <c r="E10" s="68">
        <f ca="1">IF(COUNTA(OFFSET(BUNDESLIGA!$G$1:$H$1,11*(E$8-1)+2,0,9))=0,"",INDEX(OFFSET(BUNDESLIGA!$W$3:$W$20,20*E$8+2,0),COUNTA($B$9:$B10)))</f>
        <v>11</v>
      </c>
      <c r="F10" s="68">
        <f ca="1">IF(COUNTA(OFFSET(BUNDESLIGA!$G$1:$H$1,11*(F$8-1)+2,0,9))=0,"",INDEX(OFFSET(BUNDESLIGA!$W$3:$W$20,20*F$8+2,0),COUNTA($B$9:$B10)))</f>
        <v>12</v>
      </c>
      <c r="G10" s="68">
        <f ca="1">IF(COUNTA(OFFSET(BUNDESLIGA!$G$1:$H$1,11*(G$8-1)+2,0,9))=0,"",INDEX(OFFSET(BUNDESLIGA!$W$3:$W$20,20*G$8+2,0),COUNTA($B$9:$B10)))</f>
        <v>14</v>
      </c>
      <c r="H10" s="68">
        <f ca="1">IF(COUNTA(OFFSET(BUNDESLIGA!$G$1:$H$1,11*(H$8-1)+2,0,9))=0,"",INDEX(OFFSET(BUNDESLIGA!$W$3:$W$20,20*H$8+2,0),COUNTA($B$9:$B10)))</f>
        <v>15</v>
      </c>
      <c r="I10" s="68">
        <f ca="1">IF(COUNTA(OFFSET(BUNDESLIGA!$G$1:$H$1,11*(I$8-1)+2,0,9))=0,"",INDEX(OFFSET(BUNDESLIGA!$W$3:$W$20,20*I$8+2,0),COUNTA($B$9:$B10)))</f>
        <v>16</v>
      </c>
      <c r="J10" s="68">
        <f ca="1">IF(COUNTA(OFFSET(BUNDESLIGA!$G$1:$H$1,11*(J$8-1)+2,0,9))=0,"",INDEX(OFFSET(BUNDESLIGA!$W$3:$W$20,20*J$8+2,0),COUNTA($B$9:$B10)))</f>
        <v>14</v>
      </c>
      <c r="K10" s="68">
        <f ca="1">IF(COUNTA(OFFSET(BUNDESLIGA!$G$1:$H$1,11*(K$8-1)+2,0,9))=0,"",INDEX(OFFSET(BUNDESLIGA!$W$3:$W$20,20*K$8+2,0),COUNTA($B$9:$B10)))</f>
        <v>15</v>
      </c>
      <c r="L10" s="68">
        <f ca="1">IF(COUNTA(OFFSET(BUNDESLIGA!$G$1:$H$1,11*(L$8-1)+2,0,9))=0,"",INDEX(OFFSET(BUNDESLIGA!$W$3:$W$20,20*L$8+2,0),COUNTA($B$9:$B10)))</f>
        <v>14</v>
      </c>
      <c r="M10" s="68">
        <f ca="1">IF(COUNTA(OFFSET(BUNDESLIGA!$G$1:$H$1,11*(M$8-1)+2,0,9))=0,"",INDEX(OFFSET(BUNDESLIGA!$W$3:$W$20,20*M$8+2,0),COUNTA($B$9:$B10)))</f>
        <v>11</v>
      </c>
      <c r="N10" s="68">
        <f ca="1">IF(COUNTA(OFFSET(BUNDESLIGA!$G$1:$H$1,11*(N$8-1)+2,0,9))=0,"",INDEX(OFFSET(BUNDESLIGA!$W$3:$W$20,20*N$8+2,0),COUNTA($B$9:$B10)))</f>
        <v>11</v>
      </c>
      <c r="O10" s="68">
        <f ca="1">IF(COUNTA(OFFSET(BUNDESLIGA!$G$1:$H$1,11*(O$8-1)+2,0,9))=0,"",INDEX(OFFSET(BUNDESLIGA!$W$3:$W$20,20*O$8+2,0),COUNTA($B$9:$B10)))</f>
        <v>11</v>
      </c>
      <c r="P10" s="68">
        <f ca="1">IF(COUNTA(OFFSET(BUNDESLIGA!$G$1:$H$1,11*(P$8-1)+2,0,9))=0,"",INDEX(OFFSET(BUNDESLIGA!$W$3:$W$20,20*P$8+2,0),COUNTA($B$9:$B10)))</f>
        <v>10</v>
      </c>
      <c r="Q10" s="68">
        <f ca="1">IF(COUNTA(OFFSET(BUNDESLIGA!$G$1:$H$1,11*(Q$8-1)+2,0,9))=0,"",INDEX(OFFSET(BUNDESLIGA!$W$3:$W$20,20*Q$8+2,0),COUNTA($B$9:$B10)))</f>
        <v>10</v>
      </c>
      <c r="R10" s="68">
        <f ca="1">IF(COUNTA(OFFSET(BUNDESLIGA!$G$1:$H$1,11*(R$8-1)+2,0,9))=0,"",INDEX(OFFSET(BUNDESLIGA!$W$3:$W$20,20*R$8+2,0),COUNTA($B$9:$B10)))</f>
        <v>11</v>
      </c>
      <c r="S10" s="68">
        <f ca="1">IF(COUNTA(OFFSET(BUNDESLIGA!$G$1:$H$1,11*(S$8-1)+2,0,9))=0,"",INDEX(OFFSET(BUNDESLIGA!$W$3:$W$20,20*S$8+2,0),COUNTA($B$9:$B10)))</f>
        <v>11</v>
      </c>
      <c r="T10" s="68">
        <f ca="1">IF(COUNTA(OFFSET(BUNDESLIGA!$G$1:$H$1,11*(T$8-1)+2,0,9))=0,"",INDEX(OFFSET(BUNDESLIGA!$W$3:$W$20,20*T$8+2,0),COUNTA($B$9:$B10)))</f>
        <v>12</v>
      </c>
      <c r="U10" s="68">
        <f ca="1">IF(COUNTA(OFFSET(BUNDESLIGA!$G$1:$H$1,11*(U$8-1)+2,0,9))=0,"",INDEX(OFFSET(BUNDESLIGA!$W$3:$W$20,20*U$8+2,0),COUNTA($B$9:$B10)))</f>
        <v>11</v>
      </c>
      <c r="V10" s="68">
        <f ca="1">IF(COUNTA(OFFSET(BUNDESLIGA!$G$1:$H$1,11*(V$8-1)+2,0,9))=0,"",INDEX(OFFSET(BUNDESLIGA!$W$3:$W$20,20*V$8+2,0),COUNTA($B$9:$B10)))</f>
        <v>12</v>
      </c>
      <c r="W10" s="68">
        <f ca="1">IF(COUNTA(OFFSET(BUNDESLIGA!$G$1:$H$1,11*(W$8-1)+2,0,9))=0,"",INDEX(OFFSET(BUNDESLIGA!$W$3:$W$20,20*W$8+2,0),COUNTA($B$9:$B10)))</f>
        <v>11</v>
      </c>
      <c r="X10" s="68">
        <f ca="1">IF(COUNTA(OFFSET(BUNDESLIGA!$G$1:$H$1,11*(X$8-1)+2,0,9))=0,"",INDEX(OFFSET(BUNDESLIGA!$W$3:$W$20,20*X$8+2,0),COUNTA($B$9:$B10)))</f>
        <v>12</v>
      </c>
      <c r="Y10" s="68">
        <f ca="1">IF(COUNTA(OFFSET(BUNDESLIGA!$G$1:$H$1,11*(Y$8-1)+2,0,9))=0,"",INDEX(OFFSET(BUNDESLIGA!$W$3:$W$20,20*Y$8+2,0),COUNTA($B$9:$B10)))</f>
        <v>10</v>
      </c>
      <c r="Z10" s="68">
        <f ca="1">IF(COUNTA(OFFSET(BUNDESLIGA!$G$1:$H$1,11*(Z$8-1)+2,0,9))=0,"",INDEX(OFFSET(BUNDESLIGA!$W$3:$W$20,20*Z$8+2,0),COUNTA($B$9:$B10)))</f>
        <v>10</v>
      </c>
      <c r="AA10" s="68" t="str">
        <f ca="1">IF(COUNTA(OFFSET(BUNDESLIGA!$G$1:$H$1,11*(AA$8-1)+2,0,9))=0,"",INDEX(OFFSET(BUNDESLIGA!$W$3:$W$20,20*AA$8+2,0),COUNTA($B$9:$B10)))</f>
        <v/>
      </c>
      <c r="AB10" s="68" t="str">
        <f ca="1">IF(COUNTA(OFFSET(BUNDESLIGA!$G$1:$H$1,11*(AB$8-1)+2,0,9))=0,"",INDEX(OFFSET(BUNDESLIGA!$W$3:$W$20,20*AB$8+2,0),COUNTA($B$9:$B10)))</f>
        <v/>
      </c>
      <c r="AC10" s="68" t="str">
        <f ca="1">IF(COUNTA(OFFSET(BUNDESLIGA!$G$1:$H$1,11*(AC$8-1)+2,0,9))=0,"",INDEX(OFFSET(BUNDESLIGA!$W$3:$W$20,20*AC$8+2,0),COUNTA($B$9:$B10)))</f>
        <v/>
      </c>
      <c r="AD10" s="68" t="str">
        <f ca="1">IF(COUNTA(OFFSET(BUNDESLIGA!$G$1:$H$1,11*(AD$8-1)+2,0,9))=0,"",INDEX(OFFSET(BUNDESLIGA!$W$3:$W$20,20*AD$8+2,0),COUNTA($B$9:$B10)))</f>
        <v/>
      </c>
      <c r="AE10" s="68" t="str">
        <f ca="1">IF(COUNTA(OFFSET(BUNDESLIGA!$G$1:$H$1,11*(AE$8-1)+2,0,9))=0,"",INDEX(OFFSET(BUNDESLIGA!$W$3:$W$20,20*AE$8+2,0),COUNTA($B$9:$B10)))</f>
        <v/>
      </c>
      <c r="AF10" s="68" t="str">
        <f ca="1">IF(COUNTA(OFFSET(BUNDESLIGA!$G$1:$H$1,11*(AF$8-1)+2,0,9))=0,"",INDEX(OFFSET(BUNDESLIGA!$W$3:$W$20,20*AF$8+2,0),COUNTA($B$9:$B10)))</f>
        <v/>
      </c>
      <c r="AG10" s="68" t="str">
        <f ca="1">IF(COUNTA(OFFSET(BUNDESLIGA!$G$1:$H$1,11*(AG$8-1)+2,0,9))=0,"",INDEX(OFFSET(BUNDESLIGA!$W$3:$W$20,20*AG$8+2,0),COUNTA($B$9:$B10)))</f>
        <v/>
      </c>
      <c r="AH10" s="68" t="str">
        <f ca="1">IF(COUNTA(OFFSET(BUNDESLIGA!$G$1:$H$1,11*(AH$8-1)+2,0,9))=0,"",INDEX(OFFSET(BUNDESLIGA!$W$3:$W$20,20*AH$8+2,0),COUNTA($B$9:$B10)))</f>
        <v/>
      </c>
      <c r="AI10" s="68" t="str">
        <f ca="1">IF(COUNTA(OFFSET(BUNDESLIGA!$G$1:$H$1,11*(AI$8-1)+2,0,9))=0,"",INDEX(OFFSET(BUNDESLIGA!$W$3:$W$20,20*AI$8+2,0),COUNTA($B$9:$B10)))</f>
        <v/>
      </c>
      <c r="AJ10" s="68" t="str">
        <f ca="1">IF(COUNTA(OFFSET(BUNDESLIGA!$G$1:$H$1,11*(AJ$8-1)+2,0,9))=0,"",INDEX(OFFSET(BUNDESLIGA!$W$3:$W$20,20*AJ$8+2,0),COUNTA($B$9:$B10)))</f>
        <v/>
      </c>
    </row>
    <row r="11" spans="2:36" x14ac:dyDescent="0.25">
      <c r="B11" s="59" t="str">
        <f>CONCATENATE(EQUIPES!F8)</f>
        <v>1. FSV Mainz 05</v>
      </c>
      <c r="C11" s="68">
        <f ca="1">IF(COUNTA(OFFSET(BUNDESLIGA!$G$1:$H$1,11*(C$8-1)+2,0,9))=0,"",INDEX(OFFSET(BUNDESLIGA!$W$3:$W$20,20*C$8+2,0),COUNTA($B$9:$B11)))</f>
        <v>16</v>
      </c>
      <c r="D11" s="68">
        <f ca="1">IF(COUNTA(OFFSET(BUNDESLIGA!$G$1:$H$1,11*(D$8-1)+2,0,9))=0,"",INDEX(OFFSET(BUNDESLIGA!$W$3:$W$20,20*D$8+2,0),COUNTA($B$9:$B11)))</f>
        <v>18</v>
      </c>
      <c r="E11" s="68">
        <f ca="1">IF(COUNTA(OFFSET(BUNDESLIGA!$G$1:$H$1,11*(E$8-1)+2,0,9))=0,"",INDEX(OFFSET(BUNDESLIGA!$W$3:$W$20,20*E$8+2,0),COUNTA($B$9:$B11)))</f>
        <v>18</v>
      </c>
      <c r="F11" s="68">
        <f ca="1">IF(COUNTA(OFFSET(BUNDESLIGA!$G$1:$H$1,11*(F$8-1)+2,0,9))=0,"",INDEX(OFFSET(BUNDESLIGA!$W$3:$W$20,20*F$8+2,0),COUNTA($B$9:$B11)))</f>
        <v>15</v>
      </c>
      <c r="G11" s="68">
        <f ca="1">IF(COUNTA(OFFSET(BUNDESLIGA!$G$1:$H$1,11*(G$8-1)+2,0,9))=0,"",INDEX(OFFSET(BUNDESLIGA!$W$3:$W$20,20*G$8+2,0),COUNTA($B$9:$B11)))</f>
        <v>17</v>
      </c>
      <c r="H11" s="68">
        <f ca="1">IF(COUNTA(OFFSET(BUNDESLIGA!$G$1:$H$1,11*(H$8-1)+2,0,9))=0,"",INDEX(OFFSET(BUNDESLIGA!$W$3:$W$20,20*H$8+2,0),COUNTA($B$9:$B11)))</f>
        <v>16</v>
      </c>
      <c r="I11" s="68">
        <f ca="1">IF(COUNTA(OFFSET(BUNDESLIGA!$G$1:$H$1,11*(I$8-1)+2,0,9))=0,"",INDEX(OFFSET(BUNDESLIGA!$W$3:$W$20,20*I$8+2,0),COUNTA($B$9:$B11)))</f>
        <v>13</v>
      </c>
      <c r="J11" s="68">
        <f ca="1">IF(COUNTA(OFFSET(BUNDESLIGA!$G$1:$H$1,11*(J$8-1)+2,0,9))=0,"",INDEX(OFFSET(BUNDESLIGA!$W$3:$W$20,20*J$8+2,0),COUNTA($B$9:$B11)))</f>
        <v>17</v>
      </c>
      <c r="K11" s="68">
        <f ca="1">IF(COUNTA(OFFSET(BUNDESLIGA!$G$1:$H$1,11*(K$8-1)+2,0,9))=0,"",INDEX(OFFSET(BUNDESLIGA!$W$3:$W$20,20*K$8+2,0),COUNTA($B$9:$B11)))</f>
        <v>13</v>
      </c>
      <c r="L11" s="68">
        <f ca="1">IF(COUNTA(OFFSET(BUNDESLIGA!$G$1:$H$1,11*(L$8-1)+2,0,9))=0,"",INDEX(OFFSET(BUNDESLIGA!$W$3:$W$20,20*L$8+2,0),COUNTA($B$9:$B11)))</f>
        <v>15</v>
      </c>
      <c r="M11" s="68">
        <f ca="1">IF(COUNTA(OFFSET(BUNDESLIGA!$G$1:$H$1,11*(M$8-1)+2,0,9))=0,"",INDEX(OFFSET(BUNDESLIGA!$W$3:$W$20,20*M$8+2,0),COUNTA($B$9:$B11)))</f>
        <v>16</v>
      </c>
      <c r="N11" s="68">
        <f ca="1">IF(COUNTA(OFFSET(BUNDESLIGA!$G$1:$H$1,11*(N$8-1)+2,0,9))=0,"",INDEX(OFFSET(BUNDESLIGA!$W$3:$W$20,20*N$8+2,0),COUNTA($B$9:$B11)))</f>
        <v>13</v>
      </c>
      <c r="O11" s="68">
        <f ca="1">IF(COUNTA(OFFSET(BUNDESLIGA!$G$1:$H$1,11*(O$8-1)+2,0,9))=0,"",INDEX(OFFSET(BUNDESLIGA!$W$3:$W$20,20*O$8+2,0),COUNTA($B$9:$B11)))</f>
        <v>12</v>
      </c>
      <c r="P11" s="68">
        <f ca="1">IF(COUNTA(OFFSET(BUNDESLIGA!$G$1:$H$1,11*(P$8-1)+2,0,9))=0,"",INDEX(OFFSET(BUNDESLIGA!$W$3:$W$20,20*P$8+2,0),COUNTA($B$9:$B11)))</f>
        <v>13</v>
      </c>
      <c r="Q11" s="68">
        <f ca="1">IF(COUNTA(OFFSET(BUNDESLIGA!$G$1:$H$1,11*(Q$8-1)+2,0,9))=0,"",INDEX(OFFSET(BUNDESLIGA!$W$3:$W$20,20*Q$8+2,0),COUNTA($B$9:$B11)))</f>
        <v>14</v>
      </c>
      <c r="R11" s="68">
        <f ca="1">IF(COUNTA(OFFSET(BUNDESLIGA!$G$1:$H$1,11*(R$8-1)+2,0,9))=0,"",INDEX(OFFSET(BUNDESLIGA!$W$3:$W$20,20*R$8+2,0),COUNTA($B$9:$B11)))</f>
        <v>14</v>
      </c>
      <c r="S11" s="68">
        <f ca="1">IF(COUNTA(OFFSET(BUNDESLIGA!$G$1:$H$1,11*(S$8-1)+2,0,9))=0,"",INDEX(OFFSET(BUNDESLIGA!$W$3:$W$20,20*S$8+2,0),COUNTA($B$9:$B11)))</f>
        <v>14</v>
      </c>
      <c r="T11" s="68">
        <f ca="1">IF(COUNTA(OFFSET(BUNDESLIGA!$G$1:$H$1,11*(T$8-1)+2,0,9))=0,"",INDEX(OFFSET(BUNDESLIGA!$W$3:$W$20,20*T$8+2,0),COUNTA($B$9:$B11)))</f>
        <v>15</v>
      </c>
      <c r="U11" s="68">
        <f ca="1">IF(COUNTA(OFFSET(BUNDESLIGA!$G$1:$H$1,11*(U$8-1)+2,0,9))=0,"",INDEX(OFFSET(BUNDESLIGA!$W$3:$W$20,20*U$8+2,0),COUNTA($B$9:$B11)))</f>
        <v>15</v>
      </c>
      <c r="V11" s="68">
        <f ca="1">IF(COUNTA(OFFSET(BUNDESLIGA!$G$1:$H$1,11*(V$8-1)+2,0,9))=0,"",INDEX(OFFSET(BUNDESLIGA!$W$3:$W$20,20*V$8+2,0),COUNTA($B$9:$B11)))</f>
        <v>15</v>
      </c>
      <c r="W11" s="68">
        <f ca="1">IF(COUNTA(OFFSET(BUNDESLIGA!$G$1:$H$1,11*(W$8-1)+2,0,9))=0,"",INDEX(OFFSET(BUNDESLIGA!$W$3:$W$20,20*W$8+2,0),COUNTA($B$9:$B11)))</f>
        <v>15</v>
      </c>
      <c r="X11" s="68">
        <f ca="1">IF(COUNTA(OFFSET(BUNDESLIGA!$G$1:$H$1,11*(X$8-1)+2,0,9))=0,"",INDEX(OFFSET(BUNDESLIGA!$W$3:$W$20,20*X$8+2,0),COUNTA($B$9:$B11)))</f>
        <v>15</v>
      </c>
      <c r="Y11" s="68">
        <f ca="1">IF(COUNTA(OFFSET(BUNDESLIGA!$G$1:$H$1,11*(Y$8-1)+2,0,9))=0,"",INDEX(OFFSET(BUNDESLIGA!$W$3:$W$20,20*Y$8+2,0),COUNTA($B$9:$B11)))</f>
        <v>15</v>
      </c>
      <c r="Z11" s="68">
        <f ca="1">IF(COUNTA(OFFSET(BUNDESLIGA!$G$1:$H$1,11*(Z$8-1)+2,0,9))=0,"",INDEX(OFFSET(BUNDESLIGA!$W$3:$W$20,20*Z$8+2,0),COUNTA($B$9:$B11)))</f>
        <v>15</v>
      </c>
      <c r="AA11" s="68" t="str">
        <f ca="1">IF(COUNTA(OFFSET(BUNDESLIGA!$G$1:$H$1,11*(AA$8-1)+2,0,9))=0,"",INDEX(OFFSET(BUNDESLIGA!$W$3:$W$20,20*AA$8+2,0),COUNTA($B$9:$B11)))</f>
        <v/>
      </c>
      <c r="AB11" s="68" t="str">
        <f ca="1">IF(COUNTA(OFFSET(BUNDESLIGA!$G$1:$H$1,11*(AB$8-1)+2,0,9))=0,"",INDEX(OFFSET(BUNDESLIGA!$W$3:$W$20,20*AB$8+2,0),COUNTA($B$9:$B11)))</f>
        <v/>
      </c>
      <c r="AC11" s="68" t="str">
        <f ca="1">IF(COUNTA(OFFSET(BUNDESLIGA!$G$1:$H$1,11*(AC$8-1)+2,0,9))=0,"",INDEX(OFFSET(BUNDESLIGA!$W$3:$W$20,20*AC$8+2,0),COUNTA($B$9:$B11)))</f>
        <v/>
      </c>
      <c r="AD11" s="68" t="str">
        <f ca="1">IF(COUNTA(OFFSET(BUNDESLIGA!$G$1:$H$1,11*(AD$8-1)+2,0,9))=0,"",INDEX(OFFSET(BUNDESLIGA!$W$3:$W$20,20*AD$8+2,0),COUNTA($B$9:$B11)))</f>
        <v/>
      </c>
      <c r="AE11" s="68" t="str">
        <f ca="1">IF(COUNTA(OFFSET(BUNDESLIGA!$G$1:$H$1,11*(AE$8-1)+2,0,9))=0,"",INDEX(OFFSET(BUNDESLIGA!$W$3:$W$20,20*AE$8+2,0),COUNTA($B$9:$B11)))</f>
        <v/>
      </c>
      <c r="AF11" s="68" t="str">
        <f ca="1">IF(COUNTA(OFFSET(BUNDESLIGA!$G$1:$H$1,11*(AF$8-1)+2,0,9))=0,"",INDEX(OFFSET(BUNDESLIGA!$W$3:$W$20,20*AF$8+2,0),COUNTA($B$9:$B11)))</f>
        <v/>
      </c>
      <c r="AG11" s="68" t="str">
        <f ca="1">IF(COUNTA(OFFSET(BUNDESLIGA!$G$1:$H$1,11*(AG$8-1)+2,0,9))=0,"",INDEX(OFFSET(BUNDESLIGA!$W$3:$W$20,20*AG$8+2,0),COUNTA($B$9:$B11)))</f>
        <v/>
      </c>
      <c r="AH11" s="68" t="str">
        <f ca="1">IF(COUNTA(OFFSET(BUNDESLIGA!$G$1:$H$1,11*(AH$8-1)+2,0,9))=0,"",INDEX(OFFSET(BUNDESLIGA!$W$3:$W$20,20*AH$8+2,0),COUNTA($B$9:$B11)))</f>
        <v/>
      </c>
      <c r="AI11" s="68" t="str">
        <f ca="1">IF(COUNTA(OFFSET(BUNDESLIGA!$G$1:$H$1,11*(AI$8-1)+2,0,9))=0,"",INDEX(OFFSET(BUNDESLIGA!$W$3:$W$20,20*AI$8+2,0),COUNTA($B$9:$B11)))</f>
        <v/>
      </c>
      <c r="AJ11" s="68" t="str">
        <f ca="1">IF(COUNTA(OFFSET(BUNDESLIGA!$G$1:$H$1,11*(AJ$8-1)+2,0,9))=0,"",INDEX(OFFSET(BUNDESLIGA!$W$3:$W$20,20*AJ$8+2,0),COUNTA($B$9:$B11)))</f>
        <v/>
      </c>
    </row>
    <row r="12" spans="2:36" x14ac:dyDescent="0.25">
      <c r="B12" s="59" t="str">
        <f>CONCATENATE(EQUIPES!F9)</f>
        <v>1899 Hoffenheim</v>
      </c>
      <c r="C12" s="68">
        <f ca="1">IF(COUNTA(OFFSET(BUNDESLIGA!$G$1:$H$1,11*(C$8-1)+2,0,9))=0,"",INDEX(OFFSET(BUNDESLIGA!$W$3:$W$20,20*C$8+2,0),COUNTA($B$9:$B12)))</f>
        <v>14</v>
      </c>
      <c r="D12" s="68">
        <f ca="1">IF(COUNTA(OFFSET(BUNDESLIGA!$G$1:$H$1,11*(D$8-1)+2,0,9))=0,"",INDEX(OFFSET(BUNDESLIGA!$W$3:$W$20,20*D$8+2,0),COUNTA($B$9:$B12)))</f>
        <v>9</v>
      </c>
      <c r="E12" s="68">
        <f ca="1">IF(COUNTA(OFFSET(BUNDESLIGA!$G$1:$H$1,11*(E$8-1)+2,0,9))=0,"",INDEX(OFFSET(BUNDESLIGA!$W$3:$W$20,20*E$8+2,0),COUNTA($B$9:$B12)))</f>
        <v>9</v>
      </c>
      <c r="F12" s="68">
        <f ca="1">IF(COUNTA(OFFSET(BUNDESLIGA!$G$1:$H$1,11*(F$8-1)+2,0,9))=0,"",INDEX(OFFSET(BUNDESLIGA!$W$3:$W$20,20*F$8+2,0),COUNTA($B$9:$B12)))</f>
        <v>16</v>
      </c>
      <c r="G12" s="68">
        <f ca="1">IF(COUNTA(OFFSET(BUNDESLIGA!$G$1:$H$1,11*(G$8-1)+2,0,9))=0,"",INDEX(OFFSET(BUNDESLIGA!$W$3:$W$20,20*G$8+2,0),COUNTA($B$9:$B12)))</f>
        <v>11</v>
      </c>
      <c r="H12" s="68">
        <f ca="1">IF(COUNTA(OFFSET(BUNDESLIGA!$G$1:$H$1,11*(H$8-1)+2,0,9))=0,"",INDEX(OFFSET(BUNDESLIGA!$W$3:$W$20,20*H$8+2,0),COUNTA($B$9:$B12)))</f>
        <v>12</v>
      </c>
      <c r="I12" s="68">
        <f ca="1">IF(COUNTA(OFFSET(BUNDESLIGA!$G$1:$H$1,11*(I$8-1)+2,0,9))=0,"",INDEX(OFFSET(BUNDESLIGA!$W$3:$W$20,20*I$8+2,0),COUNTA($B$9:$B12)))</f>
        <v>12</v>
      </c>
      <c r="J12" s="68">
        <f ca="1">IF(COUNTA(OFFSET(BUNDESLIGA!$G$1:$H$1,11*(J$8-1)+2,0,9))=0,"",INDEX(OFFSET(BUNDESLIGA!$W$3:$W$20,20*J$8+2,0),COUNTA($B$9:$B12)))</f>
        <v>11</v>
      </c>
      <c r="K12" s="68">
        <f ca="1">IF(COUNTA(OFFSET(BUNDESLIGA!$G$1:$H$1,11*(K$8-1)+2,0,9))=0,"",INDEX(OFFSET(BUNDESLIGA!$W$3:$W$20,20*K$8+2,0),COUNTA($B$9:$B12)))</f>
        <v>10</v>
      </c>
      <c r="L12" s="68">
        <f ca="1">IF(COUNTA(OFFSET(BUNDESLIGA!$G$1:$H$1,11*(L$8-1)+2,0,9))=0,"",INDEX(OFFSET(BUNDESLIGA!$W$3:$W$20,20*L$8+2,0),COUNTA($B$9:$B12)))</f>
        <v>9</v>
      </c>
      <c r="M12" s="68">
        <f ca="1">IF(COUNTA(OFFSET(BUNDESLIGA!$G$1:$H$1,11*(M$8-1)+2,0,9))=0,"",INDEX(OFFSET(BUNDESLIGA!$W$3:$W$20,20*M$8+2,0),COUNTA($B$9:$B12)))</f>
        <v>5</v>
      </c>
      <c r="N12" s="68">
        <f ca="1">IF(COUNTA(OFFSET(BUNDESLIGA!$G$1:$H$1,11*(N$8-1)+2,0,9))=0,"",INDEX(OFFSET(BUNDESLIGA!$W$3:$W$20,20*N$8+2,0),COUNTA($B$9:$B12)))</f>
        <v>8</v>
      </c>
      <c r="O12" s="68">
        <f ca="1">IF(COUNTA(OFFSET(BUNDESLIGA!$G$1:$H$1,11*(O$8-1)+2,0,9))=0,"",INDEX(OFFSET(BUNDESLIGA!$W$3:$W$20,20*O$8+2,0),COUNTA($B$9:$B12)))</f>
        <v>8</v>
      </c>
      <c r="P12" s="68">
        <f ca="1">IF(COUNTA(OFFSET(BUNDESLIGA!$G$1:$H$1,11*(P$8-1)+2,0,9))=0,"",INDEX(OFFSET(BUNDESLIGA!$W$3:$W$20,20*P$8+2,0),COUNTA($B$9:$B12)))</f>
        <v>8</v>
      </c>
      <c r="Q12" s="68">
        <f ca="1">IF(COUNTA(OFFSET(BUNDESLIGA!$G$1:$H$1,11*(Q$8-1)+2,0,9))=0,"",INDEX(OFFSET(BUNDESLIGA!$W$3:$W$20,20*Q$8+2,0),COUNTA($B$9:$B12)))</f>
        <v>9</v>
      </c>
      <c r="R12" s="68">
        <f ca="1">IF(COUNTA(OFFSET(BUNDESLIGA!$G$1:$H$1,11*(R$8-1)+2,0,9))=0,"",INDEX(OFFSET(BUNDESLIGA!$W$3:$W$20,20*R$8+2,0),COUNTA($B$9:$B12)))</f>
        <v>9</v>
      </c>
      <c r="S12" s="68">
        <f ca="1">IF(COUNTA(OFFSET(BUNDESLIGA!$G$1:$H$1,11*(S$8-1)+2,0,9))=0,"",INDEX(OFFSET(BUNDESLIGA!$W$3:$W$20,20*S$8+2,0),COUNTA($B$9:$B12)))</f>
        <v>7</v>
      </c>
      <c r="T12" s="68">
        <f ca="1">IF(COUNTA(OFFSET(BUNDESLIGA!$G$1:$H$1,11*(T$8-1)+2,0,9))=0,"",INDEX(OFFSET(BUNDESLIGA!$W$3:$W$20,20*T$8+2,0),COUNTA($B$9:$B12)))</f>
        <v>8</v>
      </c>
      <c r="U12" s="68">
        <f ca="1">IF(COUNTA(OFFSET(BUNDESLIGA!$G$1:$H$1,11*(U$8-1)+2,0,9))=0,"",INDEX(OFFSET(BUNDESLIGA!$W$3:$W$20,20*U$8+2,0),COUNTA($B$9:$B12)))</f>
        <v>7</v>
      </c>
      <c r="V12" s="68">
        <f ca="1">IF(COUNTA(OFFSET(BUNDESLIGA!$G$1:$H$1,11*(V$8-1)+2,0,9))=0,"",INDEX(OFFSET(BUNDESLIGA!$W$3:$W$20,20*V$8+2,0),COUNTA($B$9:$B12)))</f>
        <v>7</v>
      </c>
      <c r="W12" s="68">
        <f ca="1">IF(COUNTA(OFFSET(BUNDESLIGA!$G$1:$H$1,11*(W$8-1)+2,0,9))=0,"",INDEX(OFFSET(BUNDESLIGA!$W$3:$W$20,20*W$8+2,0),COUNTA($B$9:$B12)))</f>
        <v>7</v>
      </c>
      <c r="X12" s="68">
        <f ca="1">IF(COUNTA(OFFSET(BUNDESLIGA!$G$1:$H$1,11*(X$8-1)+2,0,9))=0,"",INDEX(OFFSET(BUNDESLIGA!$W$3:$W$20,20*X$8+2,0),COUNTA($B$9:$B12)))</f>
        <v>8</v>
      </c>
      <c r="Y12" s="68">
        <f ca="1">IF(COUNTA(OFFSET(BUNDESLIGA!$G$1:$H$1,11*(Y$8-1)+2,0,9))=0,"",INDEX(OFFSET(BUNDESLIGA!$W$3:$W$20,20*Y$8+2,0),COUNTA($B$9:$B12)))</f>
        <v>8</v>
      </c>
      <c r="Z12" s="68">
        <f ca="1">IF(COUNTA(OFFSET(BUNDESLIGA!$G$1:$H$1,11*(Z$8-1)+2,0,9))=0,"",INDEX(OFFSET(BUNDESLIGA!$W$3:$W$20,20*Z$8+2,0),COUNTA($B$9:$B12)))</f>
        <v>8</v>
      </c>
      <c r="AA12" s="68" t="str">
        <f ca="1">IF(COUNTA(OFFSET(BUNDESLIGA!$G$1:$H$1,11*(AA$8-1)+2,0,9))=0,"",INDEX(OFFSET(BUNDESLIGA!$W$3:$W$20,20*AA$8+2,0),COUNTA($B$9:$B12)))</f>
        <v/>
      </c>
      <c r="AB12" s="68" t="str">
        <f ca="1">IF(COUNTA(OFFSET(BUNDESLIGA!$G$1:$H$1,11*(AB$8-1)+2,0,9))=0,"",INDEX(OFFSET(BUNDESLIGA!$W$3:$W$20,20*AB$8+2,0),COUNTA($B$9:$B12)))</f>
        <v/>
      </c>
      <c r="AC12" s="68" t="str">
        <f ca="1">IF(COUNTA(OFFSET(BUNDESLIGA!$G$1:$H$1,11*(AC$8-1)+2,0,9))=0,"",INDEX(OFFSET(BUNDESLIGA!$W$3:$W$20,20*AC$8+2,0),COUNTA($B$9:$B12)))</f>
        <v/>
      </c>
      <c r="AD12" s="68" t="str">
        <f ca="1">IF(COUNTA(OFFSET(BUNDESLIGA!$G$1:$H$1,11*(AD$8-1)+2,0,9))=0,"",INDEX(OFFSET(BUNDESLIGA!$W$3:$W$20,20*AD$8+2,0),COUNTA($B$9:$B12)))</f>
        <v/>
      </c>
      <c r="AE12" s="68" t="str">
        <f ca="1">IF(COUNTA(OFFSET(BUNDESLIGA!$G$1:$H$1,11*(AE$8-1)+2,0,9))=0,"",INDEX(OFFSET(BUNDESLIGA!$W$3:$W$20,20*AE$8+2,0),COUNTA($B$9:$B12)))</f>
        <v/>
      </c>
      <c r="AF12" s="68" t="str">
        <f ca="1">IF(COUNTA(OFFSET(BUNDESLIGA!$G$1:$H$1,11*(AF$8-1)+2,0,9))=0,"",INDEX(OFFSET(BUNDESLIGA!$W$3:$W$20,20*AF$8+2,0),COUNTA($B$9:$B12)))</f>
        <v/>
      </c>
      <c r="AG12" s="68" t="str">
        <f ca="1">IF(COUNTA(OFFSET(BUNDESLIGA!$G$1:$H$1,11*(AG$8-1)+2,0,9))=0,"",INDEX(OFFSET(BUNDESLIGA!$W$3:$W$20,20*AG$8+2,0),COUNTA($B$9:$B12)))</f>
        <v/>
      </c>
      <c r="AH12" s="68" t="str">
        <f ca="1">IF(COUNTA(OFFSET(BUNDESLIGA!$G$1:$H$1,11*(AH$8-1)+2,0,9))=0,"",INDEX(OFFSET(BUNDESLIGA!$W$3:$W$20,20*AH$8+2,0),COUNTA($B$9:$B12)))</f>
        <v/>
      </c>
      <c r="AI12" s="68" t="str">
        <f ca="1">IF(COUNTA(OFFSET(BUNDESLIGA!$G$1:$H$1,11*(AI$8-1)+2,0,9))=0,"",INDEX(OFFSET(BUNDESLIGA!$W$3:$W$20,20*AI$8+2,0),COUNTA($B$9:$B12)))</f>
        <v/>
      </c>
      <c r="AJ12" s="68" t="str">
        <f ca="1">IF(COUNTA(OFFSET(BUNDESLIGA!$G$1:$H$1,11*(AJ$8-1)+2,0,9))=0,"",INDEX(OFFSET(BUNDESLIGA!$W$3:$W$20,20*AJ$8+2,0),COUNTA($B$9:$B12)))</f>
        <v/>
      </c>
    </row>
    <row r="13" spans="2:36" x14ac:dyDescent="0.25">
      <c r="B13" s="59" t="str">
        <f>CONCATENATE(EQUIPES!F10)</f>
        <v>Bayer Leverkusen</v>
      </c>
      <c r="C13" s="68">
        <f ca="1">IF(COUNTA(OFFSET(BUNDESLIGA!$G$1:$H$1,11*(C$8-1)+2,0,9))=0,"",INDEX(OFFSET(BUNDESLIGA!$W$3:$W$20,20*C$8+2,0),COUNTA($B$9:$B13)))</f>
        <v>5</v>
      </c>
      <c r="D13" s="68">
        <f ca="1">IF(COUNTA(OFFSET(BUNDESLIGA!$G$1:$H$1,11*(D$8-1)+2,0,9))=0,"",INDEX(OFFSET(BUNDESLIGA!$W$3:$W$20,20*D$8+2,0),COUNTA($B$9:$B13)))</f>
        <v>5</v>
      </c>
      <c r="E13" s="68">
        <f ca="1">IF(COUNTA(OFFSET(BUNDESLIGA!$G$1:$H$1,11*(E$8-1)+2,0,9))=0,"",INDEX(OFFSET(BUNDESLIGA!$W$3:$W$20,20*E$8+2,0),COUNTA($B$9:$B13)))</f>
        <v>4</v>
      </c>
      <c r="F13" s="68">
        <f ca="1">IF(COUNTA(OFFSET(BUNDESLIGA!$G$1:$H$1,11*(F$8-1)+2,0,9))=0,"",INDEX(OFFSET(BUNDESLIGA!$W$3:$W$20,20*F$8+2,0),COUNTA($B$9:$B13)))</f>
        <v>8</v>
      </c>
      <c r="G13" s="68">
        <f ca="1">IF(COUNTA(OFFSET(BUNDESLIGA!$G$1:$H$1,11*(G$8-1)+2,0,9))=0,"",INDEX(OFFSET(BUNDESLIGA!$W$3:$W$20,20*G$8+2,0),COUNTA($B$9:$B13)))</f>
        <v>7</v>
      </c>
      <c r="H13" s="68">
        <f ca="1">IF(COUNTA(OFFSET(BUNDESLIGA!$G$1:$H$1,11*(H$8-1)+2,0,9))=0,"",INDEX(OFFSET(BUNDESLIGA!$W$3:$W$20,20*H$8+2,0),COUNTA($B$9:$B13)))</f>
        <v>6</v>
      </c>
      <c r="I13" s="68">
        <f ca="1">IF(COUNTA(OFFSET(BUNDESLIGA!$G$1:$H$1,11*(I$8-1)+2,0,9))=0,"",INDEX(OFFSET(BUNDESLIGA!$W$3:$W$20,20*I$8+2,0),COUNTA($B$9:$B13)))</f>
        <v>7</v>
      </c>
      <c r="J13" s="68">
        <f ca="1">IF(COUNTA(OFFSET(BUNDESLIGA!$G$1:$H$1,11*(J$8-1)+2,0,9))=0,"",INDEX(OFFSET(BUNDESLIGA!$W$3:$W$20,20*J$8+2,0),COUNTA($B$9:$B13)))</f>
        <v>9</v>
      </c>
      <c r="K13" s="68">
        <f ca="1">IF(COUNTA(OFFSET(BUNDESLIGA!$G$1:$H$1,11*(K$8-1)+2,0,9))=0,"",INDEX(OFFSET(BUNDESLIGA!$W$3:$W$20,20*K$8+2,0),COUNTA($B$9:$B13)))</f>
        <v>8</v>
      </c>
      <c r="L13" s="68">
        <f ca="1">IF(COUNTA(OFFSET(BUNDESLIGA!$G$1:$H$1,11*(L$8-1)+2,0,9))=0,"",INDEX(OFFSET(BUNDESLIGA!$W$3:$W$20,20*L$8+2,0),COUNTA($B$9:$B13)))</f>
        <v>10</v>
      </c>
      <c r="M13" s="68">
        <f ca="1">IF(COUNTA(OFFSET(BUNDESLIGA!$G$1:$H$1,11*(M$8-1)+2,0,9))=0,"",INDEX(OFFSET(BUNDESLIGA!$W$3:$W$20,20*M$8+2,0),COUNTA($B$9:$B13)))</f>
        <v>8</v>
      </c>
      <c r="N13" s="68">
        <f ca="1">IF(COUNTA(OFFSET(BUNDESLIGA!$G$1:$H$1,11*(N$8-1)+2,0,9))=0,"",INDEX(OFFSET(BUNDESLIGA!$W$3:$W$20,20*N$8+2,0),COUNTA($B$9:$B13)))</f>
        <v>9</v>
      </c>
      <c r="O13" s="68">
        <f ca="1">IF(COUNTA(OFFSET(BUNDESLIGA!$G$1:$H$1,11*(O$8-1)+2,0,9))=0,"",INDEX(OFFSET(BUNDESLIGA!$W$3:$W$20,20*O$8+2,0),COUNTA($B$9:$B13)))</f>
        <v>7</v>
      </c>
      <c r="P13" s="68">
        <f ca="1">IF(COUNTA(OFFSET(BUNDESLIGA!$G$1:$H$1,11*(P$8-1)+2,0,9))=0,"",INDEX(OFFSET(BUNDESLIGA!$W$3:$W$20,20*P$8+2,0),COUNTA($B$9:$B13)))</f>
        <v>6</v>
      </c>
      <c r="Q13" s="68">
        <f ca="1">IF(COUNTA(OFFSET(BUNDESLIGA!$G$1:$H$1,11*(Q$8-1)+2,0,9))=0,"",INDEX(OFFSET(BUNDESLIGA!$W$3:$W$20,20*Q$8+2,0),COUNTA($B$9:$B13)))</f>
        <v>7</v>
      </c>
      <c r="R13" s="68">
        <f ca="1">IF(COUNTA(OFFSET(BUNDESLIGA!$G$1:$H$1,11*(R$8-1)+2,0,9))=0,"",INDEX(OFFSET(BUNDESLIGA!$W$3:$W$20,20*R$8+2,0),COUNTA($B$9:$B13)))</f>
        <v>7</v>
      </c>
      <c r="S13" s="68">
        <f ca="1">IF(COUNTA(OFFSET(BUNDESLIGA!$G$1:$H$1,11*(S$8-1)+2,0,9))=0,"",INDEX(OFFSET(BUNDESLIGA!$W$3:$W$20,20*S$8+2,0),COUNTA($B$9:$B13)))</f>
        <v>6</v>
      </c>
      <c r="T13" s="68">
        <f ca="1">IF(COUNTA(OFFSET(BUNDESLIGA!$G$1:$H$1,11*(T$8-1)+2,0,9))=0,"",INDEX(OFFSET(BUNDESLIGA!$W$3:$W$20,20*T$8+2,0),COUNTA($B$9:$B13)))</f>
        <v>6</v>
      </c>
      <c r="U13" s="68">
        <f ca="1">IF(COUNTA(OFFSET(BUNDESLIGA!$G$1:$H$1,11*(U$8-1)+2,0,9))=0,"",INDEX(OFFSET(BUNDESLIGA!$W$3:$W$20,20*U$8+2,0),COUNTA($B$9:$B13)))</f>
        <v>5</v>
      </c>
      <c r="V13" s="68">
        <f ca="1">IF(COUNTA(OFFSET(BUNDESLIGA!$G$1:$H$1,11*(V$8-1)+2,0,9))=0,"",INDEX(OFFSET(BUNDESLIGA!$W$3:$W$20,20*V$8+2,0),COUNTA($B$9:$B13)))</f>
        <v>5</v>
      </c>
      <c r="W13" s="68">
        <f ca="1">IF(COUNTA(OFFSET(BUNDESLIGA!$G$1:$H$1,11*(W$8-1)+2,0,9))=0,"",INDEX(OFFSET(BUNDESLIGA!$W$3:$W$20,20*W$8+2,0),COUNTA($B$9:$B13)))</f>
        <v>5</v>
      </c>
      <c r="X13" s="68">
        <f ca="1">IF(COUNTA(OFFSET(BUNDESLIGA!$G$1:$H$1,11*(X$8-1)+2,0,9))=0,"",INDEX(OFFSET(BUNDESLIGA!$W$3:$W$20,20*X$8+2,0),COUNTA($B$9:$B13)))</f>
        <v>5</v>
      </c>
      <c r="Y13" s="68">
        <f ca="1">IF(COUNTA(OFFSET(BUNDESLIGA!$G$1:$H$1,11*(Y$8-1)+2,0,9))=0,"",INDEX(OFFSET(BUNDESLIGA!$W$3:$W$20,20*Y$8+2,0),COUNTA($B$9:$B13)))</f>
        <v>5</v>
      </c>
      <c r="Z13" s="68">
        <f ca="1">IF(COUNTA(OFFSET(BUNDESLIGA!$G$1:$H$1,11*(Z$8-1)+2,0,9))=0,"",INDEX(OFFSET(BUNDESLIGA!$W$3:$W$20,20*Z$8+2,0),COUNTA($B$9:$B13)))</f>
        <v>5</v>
      </c>
      <c r="AA13" s="68" t="str">
        <f ca="1">IF(COUNTA(OFFSET(BUNDESLIGA!$G$1:$H$1,11*(AA$8-1)+2,0,9))=0,"",INDEX(OFFSET(BUNDESLIGA!$W$3:$W$20,20*AA$8+2,0),COUNTA($B$9:$B13)))</f>
        <v/>
      </c>
      <c r="AB13" s="68" t="str">
        <f ca="1">IF(COUNTA(OFFSET(BUNDESLIGA!$G$1:$H$1,11*(AB$8-1)+2,0,9))=0,"",INDEX(OFFSET(BUNDESLIGA!$W$3:$W$20,20*AB$8+2,0),COUNTA($B$9:$B13)))</f>
        <v/>
      </c>
      <c r="AC13" s="68" t="str">
        <f ca="1">IF(COUNTA(OFFSET(BUNDESLIGA!$G$1:$H$1,11*(AC$8-1)+2,0,9))=0,"",INDEX(OFFSET(BUNDESLIGA!$W$3:$W$20,20*AC$8+2,0),COUNTA($B$9:$B13)))</f>
        <v/>
      </c>
      <c r="AD13" s="68" t="str">
        <f ca="1">IF(COUNTA(OFFSET(BUNDESLIGA!$G$1:$H$1,11*(AD$8-1)+2,0,9))=0,"",INDEX(OFFSET(BUNDESLIGA!$W$3:$W$20,20*AD$8+2,0),COUNTA($B$9:$B13)))</f>
        <v/>
      </c>
      <c r="AE13" s="68" t="str">
        <f ca="1">IF(COUNTA(OFFSET(BUNDESLIGA!$G$1:$H$1,11*(AE$8-1)+2,0,9))=0,"",INDEX(OFFSET(BUNDESLIGA!$W$3:$W$20,20*AE$8+2,0),COUNTA($B$9:$B13)))</f>
        <v/>
      </c>
      <c r="AF13" s="68" t="str">
        <f ca="1">IF(COUNTA(OFFSET(BUNDESLIGA!$G$1:$H$1,11*(AF$8-1)+2,0,9))=0,"",INDEX(OFFSET(BUNDESLIGA!$W$3:$W$20,20*AF$8+2,0),COUNTA($B$9:$B13)))</f>
        <v/>
      </c>
      <c r="AG13" s="68" t="str">
        <f ca="1">IF(COUNTA(OFFSET(BUNDESLIGA!$G$1:$H$1,11*(AG$8-1)+2,0,9))=0,"",INDEX(OFFSET(BUNDESLIGA!$W$3:$W$20,20*AG$8+2,0),COUNTA($B$9:$B13)))</f>
        <v/>
      </c>
      <c r="AH13" s="68" t="str">
        <f ca="1">IF(COUNTA(OFFSET(BUNDESLIGA!$G$1:$H$1,11*(AH$8-1)+2,0,9))=0,"",INDEX(OFFSET(BUNDESLIGA!$W$3:$W$20,20*AH$8+2,0),COUNTA($B$9:$B13)))</f>
        <v/>
      </c>
      <c r="AI13" s="68" t="str">
        <f ca="1">IF(COUNTA(OFFSET(BUNDESLIGA!$G$1:$H$1,11*(AI$8-1)+2,0,9))=0,"",INDEX(OFFSET(BUNDESLIGA!$W$3:$W$20,20*AI$8+2,0),COUNTA($B$9:$B13)))</f>
        <v/>
      </c>
      <c r="AJ13" s="68" t="str">
        <f ca="1">IF(COUNTA(OFFSET(BUNDESLIGA!$G$1:$H$1,11*(AJ$8-1)+2,0,9))=0,"",INDEX(OFFSET(BUNDESLIGA!$W$3:$W$20,20*AJ$8+2,0),COUNTA($B$9:$B13)))</f>
        <v/>
      </c>
    </row>
    <row r="14" spans="2:36" x14ac:dyDescent="0.25">
      <c r="B14" s="59" t="str">
        <f>CONCATENATE(EQUIPES!F11)</f>
        <v>Bayern München</v>
      </c>
      <c r="C14" s="68">
        <f ca="1">IF(COUNTA(OFFSET(BUNDESLIGA!$G$1:$H$1,11*(C$8-1)+2,0,9))=0,"",INDEX(OFFSET(BUNDESLIGA!$W$3:$W$20,20*C$8+2,0),COUNTA($B$9:$B14)))</f>
        <v>8</v>
      </c>
      <c r="D14" s="68">
        <f ca="1">IF(COUNTA(OFFSET(BUNDESLIGA!$G$1:$H$1,11*(D$8-1)+2,0,9))=0,"",INDEX(OFFSET(BUNDESLIGA!$W$3:$W$20,20*D$8+2,0),COUNTA($B$9:$B14)))</f>
        <v>6</v>
      </c>
      <c r="E14" s="68">
        <f ca="1">IF(COUNTA(OFFSET(BUNDESLIGA!$G$1:$H$1,11*(E$8-1)+2,0,9))=0,"",INDEX(OFFSET(BUNDESLIGA!$W$3:$W$20,20*E$8+2,0),COUNTA($B$9:$B14)))</f>
        <v>2</v>
      </c>
      <c r="F14" s="68">
        <f ca="1">IF(COUNTA(OFFSET(BUNDESLIGA!$G$1:$H$1,11*(F$8-1)+2,0,9))=0,"",INDEX(OFFSET(BUNDESLIGA!$W$3:$W$20,20*F$8+2,0),COUNTA($B$9:$B14)))</f>
        <v>4</v>
      </c>
      <c r="G14" s="68">
        <f ca="1">IF(COUNTA(OFFSET(BUNDESLIGA!$G$1:$H$1,11*(G$8-1)+2,0,9))=0,"",INDEX(OFFSET(BUNDESLIGA!$W$3:$W$20,20*G$8+2,0),COUNTA($B$9:$B14)))</f>
        <v>2</v>
      </c>
      <c r="H14" s="68">
        <f ca="1">IF(COUNTA(OFFSET(BUNDESLIGA!$G$1:$H$1,11*(H$8-1)+2,0,9))=0,"",INDEX(OFFSET(BUNDESLIGA!$W$3:$W$20,20*H$8+2,0),COUNTA($B$9:$B14)))</f>
        <v>1</v>
      </c>
      <c r="I14" s="68">
        <f ca="1">IF(COUNTA(OFFSET(BUNDESLIGA!$G$1:$H$1,11*(I$8-1)+2,0,9))=0,"",INDEX(OFFSET(BUNDESLIGA!$W$3:$W$20,20*I$8+2,0),COUNTA($B$9:$B14)))</f>
        <v>3</v>
      </c>
      <c r="J14" s="68">
        <f ca="1">IF(COUNTA(OFFSET(BUNDESLIGA!$G$1:$H$1,11*(J$8-1)+2,0,9))=0,"",INDEX(OFFSET(BUNDESLIGA!$W$3:$W$20,20*J$8+2,0),COUNTA($B$9:$B14)))</f>
        <v>3</v>
      </c>
      <c r="K14" s="68">
        <f ca="1">IF(COUNTA(OFFSET(BUNDESLIGA!$G$1:$H$1,11*(K$8-1)+2,0,9))=0,"",INDEX(OFFSET(BUNDESLIGA!$W$3:$W$20,20*K$8+2,0),COUNTA($B$9:$B14)))</f>
        <v>2</v>
      </c>
      <c r="L14" s="68">
        <f ca="1">IF(COUNTA(OFFSET(BUNDESLIGA!$G$1:$H$1,11*(L$8-1)+2,0,9))=0,"",INDEX(OFFSET(BUNDESLIGA!$W$3:$W$20,20*L$8+2,0),COUNTA($B$9:$B14)))</f>
        <v>4</v>
      </c>
      <c r="M14" s="68">
        <f ca="1">IF(COUNTA(OFFSET(BUNDESLIGA!$G$1:$H$1,11*(M$8-1)+2,0,9))=0,"",INDEX(OFFSET(BUNDESLIGA!$W$3:$W$20,20*M$8+2,0),COUNTA($B$9:$B14)))</f>
        <v>3</v>
      </c>
      <c r="N14" s="68">
        <f ca="1">IF(COUNTA(OFFSET(BUNDESLIGA!$G$1:$H$1,11*(N$8-1)+2,0,9))=0,"",INDEX(OFFSET(BUNDESLIGA!$W$3:$W$20,20*N$8+2,0),COUNTA($B$9:$B14)))</f>
        <v>3</v>
      </c>
      <c r="O14" s="68">
        <f ca="1">IF(COUNTA(OFFSET(BUNDESLIGA!$G$1:$H$1,11*(O$8-1)+2,0,9))=0,"",INDEX(OFFSET(BUNDESLIGA!$W$3:$W$20,20*O$8+2,0),COUNTA($B$9:$B14)))</f>
        <v>4</v>
      </c>
      <c r="P14" s="68">
        <f ca="1">IF(COUNTA(OFFSET(BUNDESLIGA!$G$1:$H$1,11*(P$8-1)+2,0,9))=0,"",INDEX(OFFSET(BUNDESLIGA!$W$3:$W$20,20*P$8+2,0),COUNTA($B$9:$B14)))</f>
        <v>7</v>
      </c>
      <c r="Q14" s="68">
        <f ca="1">IF(COUNTA(OFFSET(BUNDESLIGA!$G$1:$H$1,11*(Q$8-1)+2,0,9))=0,"",INDEX(OFFSET(BUNDESLIGA!$W$3:$W$20,20*Q$8+2,0),COUNTA($B$9:$B14)))</f>
        <v>5</v>
      </c>
      <c r="R14" s="68">
        <f ca="1">IF(COUNTA(OFFSET(BUNDESLIGA!$G$1:$H$1,11*(R$8-1)+2,0,9))=0,"",INDEX(OFFSET(BUNDESLIGA!$W$3:$W$20,20*R$8+2,0),COUNTA($B$9:$B14)))</f>
        <v>3</v>
      </c>
      <c r="S14" s="68">
        <f ca="1">IF(COUNTA(OFFSET(BUNDESLIGA!$G$1:$H$1,11*(S$8-1)+2,0,9))=0,"",INDEX(OFFSET(BUNDESLIGA!$W$3:$W$20,20*S$8+2,0),COUNTA($B$9:$B14)))</f>
        <v>3</v>
      </c>
      <c r="T14" s="68">
        <f ca="1">IF(COUNTA(OFFSET(BUNDESLIGA!$G$1:$H$1,11*(T$8-1)+2,0,9))=0,"",INDEX(OFFSET(BUNDESLIGA!$W$3:$W$20,20*T$8+2,0),COUNTA($B$9:$B14)))</f>
        <v>2</v>
      </c>
      <c r="U14" s="68">
        <f ca="1">IF(COUNTA(OFFSET(BUNDESLIGA!$G$1:$H$1,11*(U$8-1)+2,0,9))=0,"",INDEX(OFFSET(BUNDESLIGA!$W$3:$W$20,20*U$8+2,0),COUNTA($B$9:$B14)))</f>
        <v>2</v>
      </c>
      <c r="V14" s="68">
        <f ca="1">IF(COUNTA(OFFSET(BUNDESLIGA!$G$1:$H$1,11*(V$8-1)+2,0,9))=0,"",INDEX(OFFSET(BUNDESLIGA!$W$3:$W$20,20*V$8+2,0),COUNTA($B$9:$B14)))</f>
        <v>1</v>
      </c>
      <c r="W14" s="68">
        <f ca="1">IF(COUNTA(OFFSET(BUNDESLIGA!$G$1:$H$1,11*(W$8-1)+2,0,9))=0,"",INDEX(OFFSET(BUNDESLIGA!$W$3:$W$20,20*W$8+2,0),COUNTA($B$9:$B14)))</f>
        <v>1</v>
      </c>
      <c r="X14" s="68">
        <f ca="1">IF(COUNTA(OFFSET(BUNDESLIGA!$G$1:$H$1,11*(X$8-1)+2,0,9))=0,"",INDEX(OFFSET(BUNDESLIGA!$W$3:$W$20,20*X$8+2,0),COUNTA($B$9:$B14)))</f>
        <v>1</v>
      </c>
      <c r="Y14" s="68">
        <f ca="1">IF(COUNTA(OFFSET(BUNDESLIGA!$G$1:$H$1,11*(Y$8-1)+2,0,9))=0,"",INDEX(OFFSET(BUNDESLIGA!$W$3:$W$20,20*Y$8+2,0),COUNTA($B$9:$B14)))</f>
        <v>1</v>
      </c>
      <c r="Z14" s="68">
        <f ca="1">IF(COUNTA(OFFSET(BUNDESLIGA!$G$1:$H$1,11*(Z$8-1)+2,0,9))=0,"",INDEX(OFFSET(BUNDESLIGA!$W$3:$W$20,20*Z$8+2,0),COUNTA($B$9:$B14)))</f>
        <v>1</v>
      </c>
      <c r="AA14" s="68" t="str">
        <f ca="1">IF(COUNTA(OFFSET(BUNDESLIGA!$G$1:$H$1,11*(AA$8-1)+2,0,9))=0,"",INDEX(OFFSET(BUNDESLIGA!$W$3:$W$20,20*AA$8+2,0),COUNTA($B$9:$B14)))</f>
        <v/>
      </c>
      <c r="AB14" s="68" t="str">
        <f ca="1">IF(COUNTA(OFFSET(BUNDESLIGA!$G$1:$H$1,11*(AB$8-1)+2,0,9))=0,"",INDEX(OFFSET(BUNDESLIGA!$W$3:$W$20,20*AB$8+2,0),COUNTA($B$9:$B14)))</f>
        <v/>
      </c>
      <c r="AC14" s="68" t="str">
        <f ca="1">IF(COUNTA(OFFSET(BUNDESLIGA!$G$1:$H$1,11*(AC$8-1)+2,0,9))=0,"",INDEX(OFFSET(BUNDESLIGA!$W$3:$W$20,20*AC$8+2,0),COUNTA($B$9:$B14)))</f>
        <v/>
      </c>
      <c r="AD14" s="68" t="str">
        <f ca="1">IF(COUNTA(OFFSET(BUNDESLIGA!$G$1:$H$1,11*(AD$8-1)+2,0,9))=0,"",INDEX(OFFSET(BUNDESLIGA!$W$3:$W$20,20*AD$8+2,0),COUNTA($B$9:$B14)))</f>
        <v/>
      </c>
      <c r="AE14" s="68" t="str">
        <f ca="1">IF(COUNTA(OFFSET(BUNDESLIGA!$G$1:$H$1,11*(AE$8-1)+2,0,9))=0,"",INDEX(OFFSET(BUNDESLIGA!$W$3:$W$20,20*AE$8+2,0),COUNTA($B$9:$B14)))</f>
        <v/>
      </c>
      <c r="AF14" s="68" t="str">
        <f ca="1">IF(COUNTA(OFFSET(BUNDESLIGA!$G$1:$H$1,11*(AF$8-1)+2,0,9))=0,"",INDEX(OFFSET(BUNDESLIGA!$W$3:$W$20,20*AF$8+2,0),COUNTA($B$9:$B14)))</f>
        <v/>
      </c>
      <c r="AG14" s="68" t="str">
        <f ca="1">IF(COUNTA(OFFSET(BUNDESLIGA!$G$1:$H$1,11*(AG$8-1)+2,0,9))=0,"",INDEX(OFFSET(BUNDESLIGA!$W$3:$W$20,20*AG$8+2,0),COUNTA($B$9:$B14)))</f>
        <v/>
      </c>
      <c r="AH14" s="68" t="str">
        <f ca="1">IF(COUNTA(OFFSET(BUNDESLIGA!$G$1:$H$1,11*(AH$8-1)+2,0,9))=0,"",INDEX(OFFSET(BUNDESLIGA!$W$3:$W$20,20*AH$8+2,0),COUNTA($B$9:$B14)))</f>
        <v/>
      </c>
      <c r="AI14" s="68" t="str">
        <f ca="1">IF(COUNTA(OFFSET(BUNDESLIGA!$G$1:$H$1,11*(AI$8-1)+2,0,9))=0,"",INDEX(OFFSET(BUNDESLIGA!$W$3:$W$20,20*AI$8+2,0),COUNTA($B$9:$B14)))</f>
        <v/>
      </c>
      <c r="AJ14" s="68" t="str">
        <f ca="1">IF(COUNTA(OFFSET(BUNDESLIGA!$G$1:$H$1,11*(AJ$8-1)+2,0,9))=0,"",INDEX(OFFSET(BUNDESLIGA!$W$3:$W$20,20*AJ$8+2,0),COUNTA($B$9:$B14)))</f>
        <v/>
      </c>
    </row>
    <row r="15" spans="2:36" x14ac:dyDescent="0.25">
      <c r="B15" s="59" t="str">
        <f>CONCATENATE(EQUIPES!F12)</f>
        <v>Bor. Mönchengladbach</v>
      </c>
      <c r="C15" s="68">
        <f ca="1">IF(COUNTA(OFFSET(BUNDESLIGA!$G$1:$H$1,11*(C$8-1)+2,0,9))=0,"",INDEX(OFFSET(BUNDESLIGA!$W$3:$W$20,20*C$8+2,0),COUNTA($B$9:$B15)))</f>
        <v>10</v>
      </c>
      <c r="D15" s="68">
        <f ca="1">IF(COUNTA(OFFSET(BUNDESLIGA!$G$1:$H$1,11*(D$8-1)+2,0,9))=0,"",INDEX(OFFSET(BUNDESLIGA!$W$3:$W$20,20*D$8+2,0),COUNTA($B$9:$B15)))</f>
        <v>7</v>
      </c>
      <c r="E15" s="68">
        <f ca="1">IF(COUNTA(OFFSET(BUNDESLIGA!$G$1:$H$1,11*(E$8-1)+2,0,9))=0,"",INDEX(OFFSET(BUNDESLIGA!$W$3:$W$20,20*E$8+2,0),COUNTA($B$9:$B15)))</f>
        <v>8</v>
      </c>
      <c r="F15" s="68">
        <f ca="1">IF(COUNTA(OFFSET(BUNDESLIGA!$G$1:$H$1,11*(F$8-1)+2,0,9))=0,"",INDEX(OFFSET(BUNDESLIGA!$W$3:$W$20,20*F$8+2,0),COUNTA($B$9:$B15)))</f>
        <v>7</v>
      </c>
      <c r="G15" s="68">
        <f ca="1">IF(COUNTA(OFFSET(BUNDESLIGA!$G$1:$H$1,11*(G$8-1)+2,0,9))=0,"",INDEX(OFFSET(BUNDESLIGA!$W$3:$W$20,20*G$8+2,0),COUNTA($B$9:$B15)))</f>
        <v>6</v>
      </c>
      <c r="H15" s="68">
        <f ca="1">IF(COUNTA(OFFSET(BUNDESLIGA!$G$1:$H$1,11*(H$8-1)+2,0,9))=0,"",INDEX(OFFSET(BUNDESLIGA!$W$3:$W$20,20*H$8+2,0),COUNTA($B$9:$B15)))</f>
        <v>5</v>
      </c>
      <c r="I15" s="68">
        <f ca="1">IF(COUNTA(OFFSET(BUNDESLIGA!$G$1:$H$1,11*(I$8-1)+2,0,9))=0,"",INDEX(OFFSET(BUNDESLIGA!$W$3:$W$20,20*I$8+2,0),COUNTA($B$9:$B15)))</f>
        <v>1</v>
      </c>
      <c r="J15" s="68">
        <f ca="1">IF(COUNTA(OFFSET(BUNDESLIGA!$G$1:$H$1,11*(J$8-1)+2,0,9))=0,"",INDEX(OFFSET(BUNDESLIGA!$W$3:$W$20,20*J$8+2,0),COUNTA($B$9:$B15)))</f>
        <v>1</v>
      </c>
      <c r="K15" s="68">
        <f ca="1">IF(COUNTA(OFFSET(BUNDESLIGA!$G$1:$H$1,11*(K$8-1)+2,0,9))=0,"",INDEX(OFFSET(BUNDESLIGA!$W$3:$W$20,20*K$8+2,0),COUNTA($B$9:$B15)))</f>
        <v>1</v>
      </c>
      <c r="L15" s="68">
        <f ca="1">IF(COUNTA(OFFSET(BUNDESLIGA!$G$1:$H$1,11*(L$8-1)+2,0,9))=0,"",INDEX(OFFSET(BUNDESLIGA!$W$3:$W$20,20*L$8+2,0),COUNTA($B$9:$B15)))</f>
        <v>1</v>
      </c>
      <c r="M15" s="68">
        <f ca="1">IF(COUNTA(OFFSET(BUNDESLIGA!$G$1:$H$1,11*(M$8-1)+2,0,9))=0,"",INDEX(OFFSET(BUNDESLIGA!$W$3:$W$20,20*M$8+2,0),COUNTA($B$9:$B15)))</f>
        <v>1</v>
      </c>
      <c r="N15" s="68">
        <f ca="1">IF(COUNTA(OFFSET(BUNDESLIGA!$G$1:$H$1,11*(N$8-1)+2,0,9))=0,"",INDEX(OFFSET(BUNDESLIGA!$W$3:$W$20,20*N$8+2,0),COUNTA($B$9:$B15)))</f>
        <v>1</v>
      </c>
      <c r="O15" s="68">
        <f ca="1">IF(COUNTA(OFFSET(BUNDESLIGA!$G$1:$H$1,11*(O$8-1)+2,0,9))=0,"",INDEX(OFFSET(BUNDESLIGA!$W$3:$W$20,20*O$8+2,0),COUNTA($B$9:$B15)))</f>
        <v>1</v>
      </c>
      <c r="P15" s="68">
        <f ca="1">IF(COUNTA(OFFSET(BUNDESLIGA!$G$1:$H$1,11*(P$8-1)+2,0,9))=0,"",INDEX(OFFSET(BUNDESLIGA!$W$3:$W$20,20*P$8+2,0),COUNTA($B$9:$B15)))</f>
        <v>1</v>
      </c>
      <c r="Q15" s="68">
        <f ca="1">IF(COUNTA(OFFSET(BUNDESLIGA!$G$1:$H$1,11*(Q$8-1)+2,0,9))=0,"",INDEX(OFFSET(BUNDESLIGA!$W$3:$W$20,20*Q$8+2,0),COUNTA($B$9:$B15)))</f>
        <v>2</v>
      </c>
      <c r="R15" s="68">
        <f ca="1">IF(COUNTA(OFFSET(BUNDESLIGA!$G$1:$H$1,11*(R$8-1)+2,0,9))=0,"",INDEX(OFFSET(BUNDESLIGA!$W$3:$W$20,20*R$8+2,0),COUNTA($B$9:$B15)))</f>
        <v>2</v>
      </c>
      <c r="S15" s="68">
        <f ca="1">IF(COUNTA(OFFSET(BUNDESLIGA!$G$1:$H$1,11*(S$8-1)+2,0,9))=0,"",INDEX(OFFSET(BUNDESLIGA!$W$3:$W$20,20*S$8+2,0),COUNTA($B$9:$B15)))</f>
        <v>2</v>
      </c>
      <c r="T15" s="68">
        <f ca="1">IF(COUNTA(OFFSET(BUNDESLIGA!$G$1:$H$1,11*(T$8-1)+2,0,9))=0,"",INDEX(OFFSET(BUNDESLIGA!$W$3:$W$20,20*T$8+2,0),COUNTA($B$9:$B15)))</f>
        <v>3</v>
      </c>
      <c r="U15" s="68">
        <f ca="1">IF(COUNTA(OFFSET(BUNDESLIGA!$G$1:$H$1,11*(U$8-1)+2,0,9))=0,"",INDEX(OFFSET(BUNDESLIGA!$W$3:$W$20,20*U$8+2,0),COUNTA($B$9:$B15)))</f>
        <v>3</v>
      </c>
      <c r="V15" s="68">
        <f ca="1">IF(COUNTA(OFFSET(BUNDESLIGA!$G$1:$H$1,11*(V$8-1)+2,0,9))=0,"",INDEX(OFFSET(BUNDESLIGA!$W$3:$W$20,20*V$8+2,0),COUNTA($B$9:$B15)))</f>
        <v>4</v>
      </c>
      <c r="W15" s="68">
        <f ca="1">IF(COUNTA(OFFSET(BUNDESLIGA!$G$1:$H$1,11*(W$8-1)+2,0,9))=0,"",INDEX(OFFSET(BUNDESLIGA!$W$3:$W$20,20*W$8+2,0),COUNTA($B$9:$B15)))</f>
        <v>4</v>
      </c>
      <c r="X15" s="68">
        <f ca="1">IF(COUNTA(OFFSET(BUNDESLIGA!$G$1:$H$1,11*(X$8-1)+2,0,9))=0,"",INDEX(OFFSET(BUNDESLIGA!$W$3:$W$20,20*X$8+2,0),COUNTA($B$9:$B15)))</f>
        <v>4</v>
      </c>
      <c r="Y15" s="68">
        <f ca="1">IF(COUNTA(OFFSET(BUNDESLIGA!$G$1:$H$1,11*(Y$8-1)+2,0,9))=0,"",INDEX(OFFSET(BUNDESLIGA!$W$3:$W$20,20*Y$8+2,0),COUNTA($B$9:$B15)))</f>
        <v>4</v>
      </c>
      <c r="Z15" s="68">
        <f ca="1">IF(COUNTA(OFFSET(BUNDESLIGA!$G$1:$H$1,11*(Z$8-1)+2,0,9))=0,"",INDEX(OFFSET(BUNDESLIGA!$W$3:$W$20,20*Z$8+2,0),COUNTA($B$9:$B15)))</f>
        <v>4</v>
      </c>
      <c r="AA15" s="68" t="str">
        <f ca="1">IF(COUNTA(OFFSET(BUNDESLIGA!$G$1:$H$1,11*(AA$8-1)+2,0,9))=0,"",INDEX(OFFSET(BUNDESLIGA!$W$3:$W$20,20*AA$8+2,0),COUNTA($B$9:$B15)))</f>
        <v/>
      </c>
      <c r="AB15" s="68" t="str">
        <f ca="1">IF(COUNTA(OFFSET(BUNDESLIGA!$G$1:$H$1,11*(AB$8-1)+2,0,9))=0,"",INDEX(OFFSET(BUNDESLIGA!$W$3:$W$20,20*AB$8+2,0),COUNTA($B$9:$B15)))</f>
        <v/>
      </c>
      <c r="AC15" s="68" t="str">
        <f ca="1">IF(COUNTA(OFFSET(BUNDESLIGA!$G$1:$H$1,11*(AC$8-1)+2,0,9))=0,"",INDEX(OFFSET(BUNDESLIGA!$W$3:$W$20,20*AC$8+2,0),COUNTA($B$9:$B15)))</f>
        <v/>
      </c>
      <c r="AD15" s="68" t="str">
        <f ca="1">IF(COUNTA(OFFSET(BUNDESLIGA!$G$1:$H$1,11*(AD$8-1)+2,0,9))=0,"",INDEX(OFFSET(BUNDESLIGA!$W$3:$W$20,20*AD$8+2,0),COUNTA($B$9:$B15)))</f>
        <v/>
      </c>
      <c r="AE15" s="68" t="str">
        <f ca="1">IF(COUNTA(OFFSET(BUNDESLIGA!$G$1:$H$1,11*(AE$8-1)+2,0,9))=0,"",INDEX(OFFSET(BUNDESLIGA!$W$3:$W$20,20*AE$8+2,0),COUNTA($B$9:$B15)))</f>
        <v/>
      </c>
      <c r="AF15" s="68" t="str">
        <f ca="1">IF(COUNTA(OFFSET(BUNDESLIGA!$G$1:$H$1,11*(AF$8-1)+2,0,9))=0,"",INDEX(OFFSET(BUNDESLIGA!$W$3:$W$20,20*AF$8+2,0),COUNTA($B$9:$B15)))</f>
        <v/>
      </c>
      <c r="AG15" s="68" t="str">
        <f ca="1">IF(COUNTA(OFFSET(BUNDESLIGA!$G$1:$H$1,11*(AG$8-1)+2,0,9))=0,"",INDEX(OFFSET(BUNDESLIGA!$W$3:$W$20,20*AG$8+2,0),COUNTA($B$9:$B15)))</f>
        <v/>
      </c>
      <c r="AH15" s="68" t="str">
        <f ca="1">IF(COUNTA(OFFSET(BUNDESLIGA!$G$1:$H$1,11*(AH$8-1)+2,0,9))=0,"",INDEX(OFFSET(BUNDESLIGA!$W$3:$W$20,20*AH$8+2,0),COUNTA($B$9:$B15)))</f>
        <v/>
      </c>
      <c r="AI15" s="68" t="str">
        <f ca="1">IF(COUNTA(OFFSET(BUNDESLIGA!$G$1:$H$1,11*(AI$8-1)+2,0,9))=0,"",INDEX(OFFSET(BUNDESLIGA!$W$3:$W$20,20*AI$8+2,0),COUNTA($B$9:$B15)))</f>
        <v/>
      </c>
      <c r="AJ15" s="68" t="str">
        <f ca="1">IF(COUNTA(OFFSET(BUNDESLIGA!$G$1:$H$1,11*(AJ$8-1)+2,0,9))=0,"",INDEX(OFFSET(BUNDESLIGA!$W$3:$W$20,20*AJ$8+2,0),COUNTA($B$9:$B15)))</f>
        <v/>
      </c>
    </row>
    <row r="16" spans="2:36" x14ac:dyDescent="0.25">
      <c r="B16" s="59" t="str">
        <f>CONCATENATE(EQUIPES!F13)</f>
        <v>Borussia Dortmund</v>
      </c>
      <c r="C16" s="68">
        <f ca="1">IF(COUNTA(OFFSET(BUNDESLIGA!$G$1:$H$1,11*(C$8-1)+2,0,9))=0,"",INDEX(OFFSET(BUNDESLIGA!$W$3:$W$20,20*C$8+2,0),COUNTA($B$9:$B16)))</f>
        <v>1</v>
      </c>
      <c r="D16" s="68">
        <f ca="1">IF(COUNTA(OFFSET(BUNDESLIGA!$G$1:$H$1,11*(D$8-1)+2,0,9))=0,"",INDEX(OFFSET(BUNDESLIGA!$W$3:$W$20,20*D$8+2,0),COUNTA($B$9:$B16)))</f>
        <v>1</v>
      </c>
      <c r="E16" s="68">
        <f ca="1">IF(COUNTA(OFFSET(BUNDESLIGA!$G$1:$H$1,11*(E$8-1)+2,0,9))=0,"",INDEX(OFFSET(BUNDESLIGA!$W$3:$W$20,20*E$8+2,0),COUNTA($B$9:$B16)))</f>
        <v>5</v>
      </c>
      <c r="F16" s="68">
        <f ca="1">IF(COUNTA(OFFSET(BUNDESLIGA!$G$1:$H$1,11*(F$8-1)+2,0,9))=0,"",INDEX(OFFSET(BUNDESLIGA!$W$3:$W$20,20*F$8+2,0),COUNTA($B$9:$B16)))</f>
        <v>2</v>
      </c>
      <c r="G16" s="68">
        <f ca="1">IF(COUNTA(OFFSET(BUNDESLIGA!$G$1:$H$1,11*(G$8-1)+2,0,9))=0,"",INDEX(OFFSET(BUNDESLIGA!$W$3:$W$20,20*G$8+2,0),COUNTA($B$9:$B16)))</f>
        <v>3</v>
      </c>
      <c r="H16" s="68">
        <f ca="1">IF(COUNTA(OFFSET(BUNDESLIGA!$G$1:$H$1,11*(H$8-1)+2,0,9))=0,"",INDEX(OFFSET(BUNDESLIGA!$W$3:$W$20,20*H$8+2,0),COUNTA($B$9:$B16)))</f>
        <v>8</v>
      </c>
      <c r="I16" s="68">
        <f ca="1">IF(COUNTA(OFFSET(BUNDESLIGA!$G$1:$H$1,11*(I$8-1)+2,0,9))=0,"",INDEX(OFFSET(BUNDESLIGA!$W$3:$W$20,20*I$8+2,0),COUNTA($B$9:$B16)))</f>
        <v>8</v>
      </c>
      <c r="J16" s="68">
        <f ca="1">IF(COUNTA(OFFSET(BUNDESLIGA!$G$1:$H$1,11*(J$8-1)+2,0,9))=0,"",INDEX(OFFSET(BUNDESLIGA!$W$3:$W$20,20*J$8+2,0),COUNTA($B$9:$B16)))</f>
        <v>4</v>
      </c>
      <c r="K16" s="68">
        <f ca="1">IF(COUNTA(OFFSET(BUNDESLIGA!$G$1:$H$1,11*(K$8-1)+2,0,9))=0,"",INDEX(OFFSET(BUNDESLIGA!$W$3:$W$20,20*K$8+2,0),COUNTA($B$9:$B16)))</f>
        <v>5</v>
      </c>
      <c r="L16" s="68">
        <f ca="1">IF(COUNTA(OFFSET(BUNDESLIGA!$G$1:$H$1,11*(L$8-1)+2,0,9))=0,"",INDEX(OFFSET(BUNDESLIGA!$W$3:$W$20,20*L$8+2,0),COUNTA($B$9:$B16)))</f>
        <v>2</v>
      </c>
      <c r="M16" s="68">
        <f ca="1">IF(COUNTA(OFFSET(BUNDESLIGA!$G$1:$H$1,11*(M$8-1)+2,0,9))=0,"",INDEX(OFFSET(BUNDESLIGA!$W$3:$W$20,20*M$8+2,0),COUNTA($B$9:$B16)))</f>
        <v>6</v>
      </c>
      <c r="N16" s="68">
        <f ca="1">IF(COUNTA(OFFSET(BUNDESLIGA!$G$1:$H$1,11*(N$8-1)+2,0,9))=0,"",INDEX(OFFSET(BUNDESLIGA!$W$3:$W$20,20*N$8+2,0),COUNTA($B$9:$B16)))</f>
        <v>6</v>
      </c>
      <c r="O16" s="68">
        <f ca="1">IF(COUNTA(OFFSET(BUNDESLIGA!$G$1:$H$1,11*(O$8-1)+2,0,9))=0,"",INDEX(OFFSET(BUNDESLIGA!$W$3:$W$20,20*O$8+2,0),COUNTA($B$9:$B16)))</f>
        <v>5</v>
      </c>
      <c r="P16" s="68">
        <f ca="1">IF(COUNTA(OFFSET(BUNDESLIGA!$G$1:$H$1,11*(P$8-1)+2,0,9))=0,"",INDEX(OFFSET(BUNDESLIGA!$W$3:$W$20,20*P$8+2,0),COUNTA($B$9:$B16)))</f>
        <v>3</v>
      </c>
      <c r="Q16" s="68">
        <f ca="1">IF(COUNTA(OFFSET(BUNDESLIGA!$G$1:$H$1,11*(Q$8-1)+2,0,9))=0,"",INDEX(OFFSET(BUNDESLIGA!$W$3:$W$20,20*Q$8+2,0),COUNTA($B$9:$B16)))</f>
        <v>3</v>
      </c>
      <c r="R16" s="68">
        <f ca="1">IF(COUNTA(OFFSET(BUNDESLIGA!$G$1:$H$1,11*(R$8-1)+2,0,9))=0,"",INDEX(OFFSET(BUNDESLIGA!$W$3:$W$20,20*R$8+2,0),COUNTA($B$9:$B16)))</f>
        <v>4</v>
      </c>
      <c r="S16" s="68">
        <f ca="1">IF(COUNTA(OFFSET(BUNDESLIGA!$G$1:$H$1,11*(S$8-1)+2,0,9))=0,"",INDEX(OFFSET(BUNDESLIGA!$W$3:$W$20,20*S$8+2,0),COUNTA($B$9:$B16)))</f>
        <v>4</v>
      </c>
      <c r="T16" s="68">
        <f ca="1">IF(COUNTA(OFFSET(BUNDESLIGA!$G$1:$H$1,11*(T$8-1)+2,0,9))=0,"",INDEX(OFFSET(BUNDESLIGA!$W$3:$W$20,20*T$8+2,0),COUNTA($B$9:$B16)))</f>
        <v>4</v>
      </c>
      <c r="U16" s="68">
        <f ca="1">IF(COUNTA(OFFSET(BUNDESLIGA!$G$1:$H$1,11*(U$8-1)+2,0,9))=0,"",INDEX(OFFSET(BUNDESLIGA!$W$3:$W$20,20*U$8+2,0),COUNTA($B$9:$B16)))</f>
        <v>4</v>
      </c>
      <c r="V16" s="68">
        <f ca="1">IF(COUNTA(OFFSET(BUNDESLIGA!$G$1:$H$1,11*(V$8-1)+2,0,9))=0,"",INDEX(OFFSET(BUNDESLIGA!$W$3:$W$20,20*V$8+2,0),COUNTA($B$9:$B16)))</f>
        <v>3</v>
      </c>
      <c r="W16" s="68">
        <f ca="1">IF(COUNTA(OFFSET(BUNDESLIGA!$G$1:$H$1,11*(W$8-1)+2,0,9))=0,"",INDEX(OFFSET(BUNDESLIGA!$W$3:$W$20,20*W$8+2,0),COUNTA($B$9:$B16)))</f>
        <v>3</v>
      </c>
      <c r="X16" s="68">
        <f ca="1">IF(COUNTA(OFFSET(BUNDESLIGA!$G$1:$H$1,11*(X$8-1)+2,0,9))=0,"",INDEX(OFFSET(BUNDESLIGA!$W$3:$W$20,20*X$8+2,0),COUNTA($B$9:$B16)))</f>
        <v>3</v>
      </c>
      <c r="Y16" s="68">
        <f ca="1">IF(COUNTA(OFFSET(BUNDESLIGA!$G$1:$H$1,11*(Y$8-1)+2,0,9))=0,"",INDEX(OFFSET(BUNDESLIGA!$W$3:$W$20,20*Y$8+2,0),COUNTA($B$9:$B16)))</f>
        <v>3</v>
      </c>
      <c r="Z16" s="68">
        <f ca="1">IF(COUNTA(OFFSET(BUNDESLIGA!$G$1:$H$1,11*(Z$8-1)+2,0,9))=0,"",INDEX(OFFSET(BUNDESLIGA!$W$3:$W$20,20*Z$8+2,0),COUNTA($B$9:$B16)))</f>
        <v>3</v>
      </c>
      <c r="AA16" s="68" t="str">
        <f ca="1">IF(COUNTA(OFFSET(BUNDESLIGA!$G$1:$H$1,11*(AA$8-1)+2,0,9))=0,"",INDEX(OFFSET(BUNDESLIGA!$W$3:$W$20,20*AA$8+2,0),COUNTA($B$9:$B16)))</f>
        <v/>
      </c>
      <c r="AB16" s="68" t="str">
        <f ca="1">IF(COUNTA(OFFSET(BUNDESLIGA!$G$1:$H$1,11*(AB$8-1)+2,0,9))=0,"",INDEX(OFFSET(BUNDESLIGA!$W$3:$W$20,20*AB$8+2,0),COUNTA($B$9:$B16)))</f>
        <v/>
      </c>
      <c r="AC16" s="68" t="str">
        <f ca="1">IF(COUNTA(OFFSET(BUNDESLIGA!$G$1:$H$1,11*(AC$8-1)+2,0,9))=0,"",INDEX(OFFSET(BUNDESLIGA!$W$3:$W$20,20*AC$8+2,0),COUNTA($B$9:$B16)))</f>
        <v/>
      </c>
      <c r="AD16" s="68" t="str">
        <f ca="1">IF(COUNTA(OFFSET(BUNDESLIGA!$G$1:$H$1,11*(AD$8-1)+2,0,9))=0,"",INDEX(OFFSET(BUNDESLIGA!$W$3:$W$20,20*AD$8+2,0),COUNTA($B$9:$B16)))</f>
        <v/>
      </c>
      <c r="AE16" s="68" t="str">
        <f ca="1">IF(COUNTA(OFFSET(BUNDESLIGA!$G$1:$H$1,11*(AE$8-1)+2,0,9))=0,"",INDEX(OFFSET(BUNDESLIGA!$W$3:$W$20,20*AE$8+2,0),COUNTA($B$9:$B16)))</f>
        <v/>
      </c>
      <c r="AF16" s="68" t="str">
        <f ca="1">IF(COUNTA(OFFSET(BUNDESLIGA!$G$1:$H$1,11*(AF$8-1)+2,0,9))=0,"",INDEX(OFFSET(BUNDESLIGA!$W$3:$W$20,20*AF$8+2,0),COUNTA($B$9:$B16)))</f>
        <v/>
      </c>
      <c r="AG16" s="68" t="str">
        <f ca="1">IF(COUNTA(OFFSET(BUNDESLIGA!$G$1:$H$1,11*(AG$8-1)+2,0,9))=0,"",INDEX(OFFSET(BUNDESLIGA!$W$3:$W$20,20*AG$8+2,0),COUNTA($B$9:$B16)))</f>
        <v/>
      </c>
      <c r="AH16" s="68" t="str">
        <f ca="1">IF(COUNTA(OFFSET(BUNDESLIGA!$G$1:$H$1,11*(AH$8-1)+2,0,9))=0,"",INDEX(OFFSET(BUNDESLIGA!$W$3:$W$20,20*AH$8+2,0),COUNTA($B$9:$B16)))</f>
        <v/>
      </c>
      <c r="AI16" s="68" t="str">
        <f ca="1">IF(COUNTA(OFFSET(BUNDESLIGA!$G$1:$H$1,11*(AI$8-1)+2,0,9))=0,"",INDEX(OFFSET(BUNDESLIGA!$W$3:$W$20,20*AI$8+2,0),COUNTA($B$9:$B16)))</f>
        <v/>
      </c>
      <c r="AJ16" s="68" t="str">
        <f ca="1">IF(COUNTA(OFFSET(BUNDESLIGA!$G$1:$H$1,11*(AJ$8-1)+2,0,9))=0,"",INDEX(OFFSET(BUNDESLIGA!$W$3:$W$20,20*AJ$8+2,0),COUNTA($B$9:$B16)))</f>
        <v/>
      </c>
    </row>
    <row r="17" spans="2:36" x14ac:dyDescent="0.25">
      <c r="B17" s="59" t="str">
        <f>CONCATENATE(EQUIPES!F14)</f>
        <v>Eintracht Frankfurt</v>
      </c>
      <c r="C17" s="68">
        <f ca="1">IF(COUNTA(OFFSET(BUNDESLIGA!$G$1:$H$1,11*(C$8-1)+2,0,9))=0,"",INDEX(OFFSET(BUNDESLIGA!$W$3:$W$20,20*C$8+2,0),COUNTA($B$9:$B17)))</f>
        <v>7</v>
      </c>
      <c r="D17" s="68">
        <f ca="1">IF(COUNTA(OFFSET(BUNDESLIGA!$G$1:$H$1,11*(D$8-1)+2,0,9))=0,"",INDEX(OFFSET(BUNDESLIGA!$W$3:$W$20,20*D$8+2,0),COUNTA($B$9:$B17)))</f>
        <v>10</v>
      </c>
      <c r="E17" s="68">
        <f ca="1">IF(COUNTA(OFFSET(BUNDESLIGA!$G$1:$H$1,11*(E$8-1)+2,0,9))=0,"",INDEX(OFFSET(BUNDESLIGA!$W$3:$W$20,20*E$8+2,0),COUNTA($B$9:$B17)))</f>
        <v>7</v>
      </c>
      <c r="F17" s="68">
        <f ca="1">IF(COUNTA(OFFSET(BUNDESLIGA!$G$1:$H$1,11*(F$8-1)+2,0,9))=0,"",INDEX(OFFSET(BUNDESLIGA!$W$3:$W$20,20*F$8+2,0),COUNTA($B$9:$B17)))</f>
        <v>9</v>
      </c>
      <c r="G17" s="68">
        <f ca="1">IF(COUNTA(OFFSET(BUNDESLIGA!$G$1:$H$1,11*(G$8-1)+2,0,9))=0,"",INDEX(OFFSET(BUNDESLIGA!$W$3:$W$20,20*G$8+2,0),COUNTA($B$9:$B17)))</f>
        <v>9</v>
      </c>
      <c r="H17" s="68">
        <f ca="1">IF(COUNTA(OFFSET(BUNDESLIGA!$G$1:$H$1,11*(H$8-1)+2,0,9))=0,"",INDEX(OFFSET(BUNDESLIGA!$W$3:$W$20,20*H$8+2,0),COUNTA($B$9:$B17)))</f>
        <v>9</v>
      </c>
      <c r="I17" s="68">
        <f ca="1">IF(COUNTA(OFFSET(BUNDESLIGA!$G$1:$H$1,11*(I$8-1)+2,0,9))=0,"",INDEX(OFFSET(BUNDESLIGA!$W$3:$W$20,20*I$8+2,0),COUNTA($B$9:$B17)))</f>
        <v>9</v>
      </c>
      <c r="J17" s="68">
        <f ca="1">IF(COUNTA(OFFSET(BUNDESLIGA!$G$1:$H$1,11*(J$8-1)+2,0,9))=0,"",INDEX(OFFSET(BUNDESLIGA!$W$3:$W$20,20*J$8+2,0),COUNTA($B$9:$B17)))</f>
        <v>8</v>
      </c>
      <c r="K17" s="68">
        <f ca="1">IF(COUNTA(OFFSET(BUNDESLIGA!$G$1:$H$1,11*(K$8-1)+2,0,9))=0,"",INDEX(OFFSET(BUNDESLIGA!$W$3:$W$20,20*K$8+2,0),COUNTA($B$9:$B17)))</f>
        <v>9</v>
      </c>
      <c r="L17" s="68">
        <f ca="1">IF(COUNTA(OFFSET(BUNDESLIGA!$G$1:$H$1,11*(L$8-1)+2,0,9))=0,"",INDEX(OFFSET(BUNDESLIGA!$W$3:$W$20,20*L$8+2,0),COUNTA($B$9:$B17)))</f>
        <v>7</v>
      </c>
      <c r="M17" s="68">
        <f ca="1">IF(COUNTA(OFFSET(BUNDESLIGA!$G$1:$H$1,11*(M$8-1)+2,0,9))=0,"",INDEX(OFFSET(BUNDESLIGA!$W$3:$W$20,20*M$8+2,0),COUNTA($B$9:$B17)))</f>
        <v>9</v>
      </c>
      <c r="N17" s="68">
        <f ca="1">IF(COUNTA(OFFSET(BUNDESLIGA!$G$1:$H$1,11*(N$8-1)+2,0,9))=0,"",INDEX(OFFSET(BUNDESLIGA!$W$3:$W$20,20*N$8+2,0),COUNTA($B$9:$B17)))</f>
        <v>10</v>
      </c>
      <c r="O17" s="68">
        <f ca="1">IF(COUNTA(OFFSET(BUNDESLIGA!$G$1:$H$1,11*(O$8-1)+2,0,9))=0,"",INDEX(OFFSET(BUNDESLIGA!$W$3:$W$20,20*O$8+2,0),COUNTA($B$9:$B17)))</f>
        <v>10</v>
      </c>
      <c r="P17" s="68">
        <f ca="1">IF(COUNTA(OFFSET(BUNDESLIGA!$G$1:$H$1,11*(P$8-1)+2,0,9))=0,"",INDEX(OFFSET(BUNDESLIGA!$W$3:$W$20,20*P$8+2,0),COUNTA($B$9:$B17)))</f>
        <v>11</v>
      </c>
      <c r="Q17" s="68">
        <f ca="1">IF(COUNTA(OFFSET(BUNDESLIGA!$G$1:$H$1,11*(Q$8-1)+2,0,9))=0,"",INDEX(OFFSET(BUNDESLIGA!$W$3:$W$20,20*Q$8+2,0),COUNTA($B$9:$B17)))</f>
        <v>12</v>
      </c>
      <c r="R17" s="68">
        <f ca="1">IF(COUNTA(OFFSET(BUNDESLIGA!$G$1:$H$1,11*(R$8-1)+2,0,9))=0,"",INDEX(OFFSET(BUNDESLIGA!$W$3:$W$20,20*R$8+2,0),COUNTA($B$9:$B17)))</f>
        <v>12</v>
      </c>
      <c r="S17" s="68">
        <f ca="1">IF(COUNTA(OFFSET(BUNDESLIGA!$G$1:$H$1,11*(S$8-1)+2,0,9))=0,"",INDEX(OFFSET(BUNDESLIGA!$W$3:$W$20,20*S$8+2,0),COUNTA($B$9:$B17)))</f>
        <v>13</v>
      </c>
      <c r="T17" s="68">
        <f ca="1">IF(COUNTA(OFFSET(BUNDESLIGA!$G$1:$H$1,11*(T$8-1)+2,0,9))=0,"",INDEX(OFFSET(BUNDESLIGA!$W$3:$W$20,20*T$8+2,0),COUNTA($B$9:$B17)))</f>
        <v>11</v>
      </c>
      <c r="U17" s="68">
        <f ca="1">IF(COUNTA(OFFSET(BUNDESLIGA!$G$1:$H$1,11*(U$8-1)+2,0,9))=0,"",INDEX(OFFSET(BUNDESLIGA!$W$3:$W$20,20*U$8+2,0),COUNTA($B$9:$B17)))</f>
        <v>9</v>
      </c>
      <c r="V17" s="68">
        <f ca="1">IF(COUNTA(OFFSET(BUNDESLIGA!$G$1:$H$1,11*(V$8-1)+2,0,9))=0,"",INDEX(OFFSET(BUNDESLIGA!$W$3:$W$20,20*V$8+2,0),COUNTA($B$9:$B17)))</f>
        <v>11</v>
      </c>
      <c r="W17" s="68">
        <f ca="1">IF(COUNTA(OFFSET(BUNDESLIGA!$G$1:$H$1,11*(W$8-1)+2,0,9))=0,"",INDEX(OFFSET(BUNDESLIGA!$W$3:$W$20,20*W$8+2,0),COUNTA($B$9:$B17)))</f>
        <v>9</v>
      </c>
      <c r="X17" s="68">
        <f ca="1">IF(COUNTA(OFFSET(BUNDESLIGA!$G$1:$H$1,11*(X$8-1)+2,0,9))=0,"",INDEX(OFFSET(BUNDESLIGA!$W$3:$W$20,20*X$8+2,0),COUNTA($B$9:$B17)))</f>
        <v>10</v>
      </c>
      <c r="Y17" s="68">
        <f ca="1">IF(COUNTA(OFFSET(BUNDESLIGA!$G$1:$H$1,11*(Y$8-1)+2,0,9))=0,"",INDEX(OFFSET(BUNDESLIGA!$W$3:$W$20,20*Y$8+2,0),COUNTA($B$9:$B17)))</f>
        <v>11</v>
      </c>
      <c r="Z17" s="68">
        <f ca="1">IF(COUNTA(OFFSET(BUNDESLIGA!$G$1:$H$1,11*(Z$8-1)+2,0,9))=0,"",INDEX(OFFSET(BUNDESLIGA!$W$3:$W$20,20*Z$8+2,0),COUNTA($B$9:$B17)))</f>
        <v>12</v>
      </c>
      <c r="AA17" s="68" t="str">
        <f ca="1">IF(COUNTA(OFFSET(BUNDESLIGA!$G$1:$H$1,11*(AA$8-1)+2,0,9))=0,"",INDEX(OFFSET(BUNDESLIGA!$W$3:$W$20,20*AA$8+2,0),COUNTA($B$9:$B17)))</f>
        <v/>
      </c>
      <c r="AB17" s="68" t="str">
        <f ca="1">IF(COUNTA(OFFSET(BUNDESLIGA!$G$1:$H$1,11*(AB$8-1)+2,0,9))=0,"",INDEX(OFFSET(BUNDESLIGA!$W$3:$W$20,20*AB$8+2,0),COUNTA($B$9:$B17)))</f>
        <v/>
      </c>
      <c r="AC17" s="68" t="str">
        <f ca="1">IF(COUNTA(OFFSET(BUNDESLIGA!$G$1:$H$1,11*(AC$8-1)+2,0,9))=0,"",INDEX(OFFSET(BUNDESLIGA!$W$3:$W$20,20*AC$8+2,0),COUNTA($B$9:$B17)))</f>
        <v/>
      </c>
      <c r="AD17" s="68" t="str">
        <f ca="1">IF(COUNTA(OFFSET(BUNDESLIGA!$G$1:$H$1,11*(AD$8-1)+2,0,9))=0,"",INDEX(OFFSET(BUNDESLIGA!$W$3:$W$20,20*AD$8+2,0),COUNTA($B$9:$B17)))</f>
        <v/>
      </c>
      <c r="AE17" s="68" t="str">
        <f ca="1">IF(COUNTA(OFFSET(BUNDESLIGA!$G$1:$H$1,11*(AE$8-1)+2,0,9))=0,"",INDEX(OFFSET(BUNDESLIGA!$W$3:$W$20,20*AE$8+2,0),COUNTA($B$9:$B17)))</f>
        <v/>
      </c>
      <c r="AF17" s="68" t="str">
        <f ca="1">IF(COUNTA(OFFSET(BUNDESLIGA!$G$1:$H$1,11*(AF$8-1)+2,0,9))=0,"",INDEX(OFFSET(BUNDESLIGA!$W$3:$W$20,20*AF$8+2,0),COUNTA($B$9:$B17)))</f>
        <v/>
      </c>
      <c r="AG17" s="68" t="str">
        <f ca="1">IF(COUNTA(OFFSET(BUNDESLIGA!$G$1:$H$1,11*(AG$8-1)+2,0,9))=0,"",INDEX(OFFSET(BUNDESLIGA!$W$3:$W$20,20*AG$8+2,0),COUNTA($B$9:$B17)))</f>
        <v/>
      </c>
      <c r="AH17" s="68" t="str">
        <f ca="1">IF(COUNTA(OFFSET(BUNDESLIGA!$G$1:$H$1,11*(AH$8-1)+2,0,9))=0,"",INDEX(OFFSET(BUNDESLIGA!$W$3:$W$20,20*AH$8+2,0),COUNTA($B$9:$B17)))</f>
        <v/>
      </c>
      <c r="AI17" s="68" t="str">
        <f ca="1">IF(COUNTA(OFFSET(BUNDESLIGA!$G$1:$H$1,11*(AI$8-1)+2,0,9))=0,"",INDEX(OFFSET(BUNDESLIGA!$W$3:$W$20,20*AI$8+2,0),COUNTA($B$9:$B17)))</f>
        <v/>
      </c>
      <c r="AJ17" s="68" t="str">
        <f ca="1">IF(COUNTA(OFFSET(BUNDESLIGA!$G$1:$H$1,11*(AJ$8-1)+2,0,9))=0,"",INDEX(OFFSET(BUNDESLIGA!$W$3:$W$20,20*AJ$8+2,0),COUNTA($B$9:$B17)))</f>
        <v/>
      </c>
    </row>
    <row r="18" spans="2:36" x14ac:dyDescent="0.25">
      <c r="B18" s="59" t="str">
        <f>CONCATENATE(EQUIPES!F15)</f>
        <v>FC Augsburg</v>
      </c>
      <c r="C18" s="68">
        <f ca="1">IF(COUNTA(OFFSET(BUNDESLIGA!$G$1:$H$1,11*(C$8-1)+2,0,9))=0,"",INDEX(OFFSET(BUNDESLIGA!$W$3:$W$20,20*C$8+2,0),COUNTA($B$9:$B18)))</f>
        <v>17</v>
      </c>
      <c r="D18" s="68">
        <f ca="1">IF(COUNTA(OFFSET(BUNDESLIGA!$G$1:$H$1,11*(D$8-1)+2,0,9))=0,"",INDEX(OFFSET(BUNDESLIGA!$W$3:$W$20,20*D$8+2,0),COUNTA($B$9:$B18)))</f>
        <v>13</v>
      </c>
      <c r="E18" s="68">
        <f ca="1">IF(COUNTA(OFFSET(BUNDESLIGA!$G$1:$H$1,11*(E$8-1)+2,0,9))=0,"",INDEX(OFFSET(BUNDESLIGA!$W$3:$W$20,20*E$8+2,0),COUNTA($B$9:$B18)))</f>
        <v>16</v>
      </c>
      <c r="F18" s="68">
        <f ca="1">IF(COUNTA(OFFSET(BUNDESLIGA!$G$1:$H$1,11*(F$8-1)+2,0,9))=0,"",INDEX(OFFSET(BUNDESLIGA!$W$3:$W$20,20*F$8+2,0),COUNTA($B$9:$B18)))</f>
        <v>13</v>
      </c>
      <c r="G18" s="68">
        <f ca="1">IF(COUNTA(OFFSET(BUNDESLIGA!$G$1:$H$1,11*(G$8-1)+2,0,9))=0,"",INDEX(OFFSET(BUNDESLIGA!$W$3:$W$20,20*G$8+2,0),COUNTA($B$9:$B18)))</f>
        <v>12</v>
      </c>
      <c r="H18" s="68">
        <f ca="1">IF(COUNTA(OFFSET(BUNDESLIGA!$G$1:$H$1,11*(H$8-1)+2,0,9))=0,"",INDEX(OFFSET(BUNDESLIGA!$W$3:$W$20,20*H$8+2,0),COUNTA($B$9:$B18)))</f>
        <v>13</v>
      </c>
      <c r="I18" s="68">
        <f ca="1">IF(COUNTA(OFFSET(BUNDESLIGA!$G$1:$H$1,11*(I$8-1)+2,0,9))=0,"",INDEX(OFFSET(BUNDESLIGA!$W$3:$W$20,20*I$8+2,0),COUNTA($B$9:$B18)))</f>
        <v>14</v>
      </c>
      <c r="J18" s="68">
        <f ca="1">IF(COUNTA(OFFSET(BUNDESLIGA!$G$1:$H$1,11*(J$8-1)+2,0,9))=0,"",INDEX(OFFSET(BUNDESLIGA!$W$3:$W$20,20*J$8+2,0),COUNTA($B$9:$B18)))</f>
        <v>16</v>
      </c>
      <c r="K18" s="68">
        <f ca="1">IF(COUNTA(OFFSET(BUNDESLIGA!$G$1:$H$1,11*(K$8-1)+2,0,9))=0,"",INDEX(OFFSET(BUNDESLIGA!$W$3:$W$20,20*K$8+2,0),COUNTA($B$9:$B18)))</f>
        <v>17</v>
      </c>
      <c r="L18" s="68">
        <f ca="1">IF(COUNTA(OFFSET(BUNDESLIGA!$G$1:$H$1,11*(L$8-1)+2,0,9))=0,"",INDEX(OFFSET(BUNDESLIGA!$W$3:$W$20,20*L$8+2,0),COUNTA($B$9:$B18)))</f>
        <v>16</v>
      </c>
      <c r="M18" s="68">
        <f ca="1">IF(COUNTA(OFFSET(BUNDESLIGA!$G$1:$H$1,11*(M$8-1)+2,0,9))=0,"",INDEX(OFFSET(BUNDESLIGA!$W$3:$W$20,20*M$8+2,0),COUNTA($B$9:$B18)))</f>
        <v>15</v>
      </c>
      <c r="N18" s="68">
        <f ca="1">IF(COUNTA(OFFSET(BUNDESLIGA!$G$1:$H$1,11*(N$8-1)+2,0,9))=0,"",INDEX(OFFSET(BUNDESLIGA!$W$3:$W$20,20*N$8+2,0),COUNTA($B$9:$B18)))</f>
        <v>12</v>
      </c>
      <c r="O18" s="68">
        <f ca="1">IF(COUNTA(OFFSET(BUNDESLIGA!$G$1:$H$1,11*(O$8-1)+2,0,9))=0,"",INDEX(OFFSET(BUNDESLIGA!$W$3:$W$20,20*O$8+2,0),COUNTA($B$9:$B18)))</f>
        <v>14</v>
      </c>
      <c r="P18" s="68">
        <f ca="1">IF(COUNTA(OFFSET(BUNDESLIGA!$G$1:$H$1,11*(P$8-1)+2,0,9))=0,"",INDEX(OFFSET(BUNDESLIGA!$W$3:$W$20,20*P$8+2,0),COUNTA($B$9:$B18)))</f>
        <v>12</v>
      </c>
      <c r="Q18" s="68">
        <f ca="1">IF(COUNTA(OFFSET(BUNDESLIGA!$G$1:$H$1,11*(Q$8-1)+2,0,9))=0,"",INDEX(OFFSET(BUNDESLIGA!$W$3:$W$20,20*Q$8+2,0),COUNTA($B$9:$B18)))</f>
        <v>11</v>
      </c>
      <c r="R18" s="68">
        <f ca="1">IF(COUNTA(OFFSET(BUNDESLIGA!$G$1:$H$1,11*(R$8-1)+2,0,9))=0,"",INDEX(OFFSET(BUNDESLIGA!$W$3:$W$20,20*R$8+2,0),COUNTA($B$9:$B18)))</f>
        <v>10</v>
      </c>
      <c r="S18" s="68">
        <f ca="1">IF(COUNTA(OFFSET(BUNDESLIGA!$G$1:$H$1,11*(S$8-1)+2,0,9))=0,"",INDEX(OFFSET(BUNDESLIGA!$W$3:$W$20,20*S$8+2,0),COUNTA($B$9:$B18)))</f>
        <v>10</v>
      </c>
      <c r="T18" s="68">
        <f ca="1">IF(COUNTA(OFFSET(BUNDESLIGA!$G$1:$H$1,11*(T$8-1)+2,0,9))=0,"",INDEX(OFFSET(BUNDESLIGA!$W$3:$W$20,20*T$8+2,0),COUNTA($B$9:$B18)))</f>
        <v>10</v>
      </c>
      <c r="U18" s="68">
        <f ca="1">IF(COUNTA(OFFSET(BUNDESLIGA!$G$1:$H$1,11*(U$8-1)+2,0,9))=0,"",INDEX(OFFSET(BUNDESLIGA!$W$3:$W$20,20*U$8+2,0),COUNTA($B$9:$B18)))</f>
        <v>12</v>
      </c>
      <c r="V18" s="68">
        <f ca="1">IF(COUNTA(OFFSET(BUNDESLIGA!$G$1:$H$1,11*(V$8-1)+2,0,9))=0,"",INDEX(OFFSET(BUNDESLIGA!$W$3:$W$20,20*V$8+2,0),COUNTA($B$9:$B18)))</f>
        <v>10</v>
      </c>
      <c r="W18" s="68">
        <f ca="1">IF(COUNTA(OFFSET(BUNDESLIGA!$G$1:$H$1,11*(W$8-1)+2,0,9))=0,"",INDEX(OFFSET(BUNDESLIGA!$W$3:$W$20,20*W$8+2,0),COUNTA($B$9:$B18)))</f>
        <v>12</v>
      </c>
      <c r="X18" s="68">
        <f ca="1">IF(COUNTA(OFFSET(BUNDESLIGA!$G$1:$H$1,11*(X$8-1)+2,0,9))=0,"",INDEX(OFFSET(BUNDESLIGA!$W$3:$W$20,20*X$8+2,0),COUNTA($B$9:$B18)))</f>
        <v>11</v>
      </c>
      <c r="Y18" s="68">
        <f ca="1">IF(COUNTA(OFFSET(BUNDESLIGA!$G$1:$H$1,11*(Y$8-1)+2,0,9))=0,"",INDEX(OFFSET(BUNDESLIGA!$W$3:$W$20,20*Y$8+2,0),COUNTA($B$9:$B18)))</f>
        <v>12</v>
      </c>
      <c r="Z18" s="68">
        <f ca="1">IF(COUNTA(OFFSET(BUNDESLIGA!$G$1:$H$1,11*(Z$8-1)+2,0,9))=0,"",INDEX(OFFSET(BUNDESLIGA!$W$3:$W$20,20*Z$8+2,0),COUNTA($B$9:$B18)))</f>
        <v>13</v>
      </c>
      <c r="AA18" s="68" t="str">
        <f ca="1">IF(COUNTA(OFFSET(BUNDESLIGA!$G$1:$H$1,11*(AA$8-1)+2,0,9))=0,"",INDEX(OFFSET(BUNDESLIGA!$W$3:$W$20,20*AA$8+2,0),COUNTA($B$9:$B18)))</f>
        <v/>
      </c>
      <c r="AB18" s="68" t="str">
        <f ca="1">IF(COUNTA(OFFSET(BUNDESLIGA!$G$1:$H$1,11*(AB$8-1)+2,0,9))=0,"",INDEX(OFFSET(BUNDESLIGA!$W$3:$W$20,20*AB$8+2,0),COUNTA($B$9:$B18)))</f>
        <v/>
      </c>
      <c r="AC18" s="68" t="str">
        <f ca="1">IF(COUNTA(OFFSET(BUNDESLIGA!$G$1:$H$1,11*(AC$8-1)+2,0,9))=0,"",INDEX(OFFSET(BUNDESLIGA!$W$3:$W$20,20*AC$8+2,0),COUNTA($B$9:$B18)))</f>
        <v/>
      </c>
      <c r="AD18" s="68" t="str">
        <f ca="1">IF(COUNTA(OFFSET(BUNDESLIGA!$G$1:$H$1,11*(AD$8-1)+2,0,9))=0,"",INDEX(OFFSET(BUNDESLIGA!$W$3:$W$20,20*AD$8+2,0),COUNTA($B$9:$B18)))</f>
        <v/>
      </c>
      <c r="AE18" s="68" t="str">
        <f ca="1">IF(COUNTA(OFFSET(BUNDESLIGA!$G$1:$H$1,11*(AE$8-1)+2,0,9))=0,"",INDEX(OFFSET(BUNDESLIGA!$W$3:$W$20,20*AE$8+2,0),COUNTA($B$9:$B18)))</f>
        <v/>
      </c>
      <c r="AF18" s="68" t="str">
        <f ca="1">IF(COUNTA(OFFSET(BUNDESLIGA!$G$1:$H$1,11*(AF$8-1)+2,0,9))=0,"",INDEX(OFFSET(BUNDESLIGA!$W$3:$W$20,20*AF$8+2,0),COUNTA($B$9:$B18)))</f>
        <v/>
      </c>
      <c r="AG18" s="68" t="str">
        <f ca="1">IF(COUNTA(OFFSET(BUNDESLIGA!$G$1:$H$1,11*(AG$8-1)+2,0,9))=0,"",INDEX(OFFSET(BUNDESLIGA!$W$3:$W$20,20*AG$8+2,0),COUNTA($B$9:$B18)))</f>
        <v/>
      </c>
      <c r="AH18" s="68" t="str">
        <f ca="1">IF(COUNTA(OFFSET(BUNDESLIGA!$G$1:$H$1,11*(AH$8-1)+2,0,9))=0,"",INDEX(OFFSET(BUNDESLIGA!$W$3:$W$20,20*AH$8+2,0),COUNTA($B$9:$B18)))</f>
        <v/>
      </c>
      <c r="AI18" s="68" t="str">
        <f ca="1">IF(COUNTA(OFFSET(BUNDESLIGA!$G$1:$H$1,11*(AI$8-1)+2,0,9))=0,"",INDEX(OFFSET(BUNDESLIGA!$W$3:$W$20,20*AI$8+2,0),COUNTA($B$9:$B18)))</f>
        <v/>
      </c>
      <c r="AJ18" s="68" t="str">
        <f ca="1">IF(COUNTA(OFFSET(BUNDESLIGA!$G$1:$H$1,11*(AJ$8-1)+2,0,9))=0,"",INDEX(OFFSET(BUNDESLIGA!$W$3:$W$20,20*AJ$8+2,0),COUNTA($B$9:$B18)))</f>
        <v/>
      </c>
    </row>
    <row r="19" spans="2:36" x14ac:dyDescent="0.25">
      <c r="B19" s="59" t="str">
        <f>CONCATENATE(EQUIPES!F16)</f>
        <v>FC Schalke 04</v>
      </c>
      <c r="C19" s="68">
        <f ca="1">IF(COUNTA(OFFSET(BUNDESLIGA!$G$1:$H$1,11*(C$8-1)+2,0,9))=0,"",INDEX(OFFSET(BUNDESLIGA!$W$3:$W$20,20*C$8+2,0),COUNTA($B$9:$B19)))</f>
        <v>11</v>
      </c>
      <c r="D19" s="68">
        <f ca="1">IF(COUNTA(OFFSET(BUNDESLIGA!$G$1:$H$1,11*(D$8-1)+2,0,9))=0,"",INDEX(OFFSET(BUNDESLIGA!$W$3:$W$20,20*D$8+2,0),COUNTA($B$9:$B19)))</f>
        <v>12</v>
      </c>
      <c r="E19" s="68">
        <f ca="1">IF(COUNTA(OFFSET(BUNDESLIGA!$G$1:$H$1,11*(E$8-1)+2,0,9))=0,"",INDEX(OFFSET(BUNDESLIGA!$W$3:$W$20,20*E$8+2,0),COUNTA($B$9:$B19)))</f>
        <v>10</v>
      </c>
      <c r="F19" s="68">
        <f ca="1">IF(COUNTA(OFFSET(BUNDESLIGA!$G$1:$H$1,11*(F$8-1)+2,0,9))=0,"",INDEX(OFFSET(BUNDESLIGA!$W$3:$W$20,20*F$8+2,0),COUNTA($B$9:$B19)))</f>
        <v>6</v>
      </c>
      <c r="G19" s="68">
        <f ca="1">IF(COUNTA(OFFSET(BUNDESLIGA!$G$1:$H$1,11*(G$8-1)+2,0,9))=0,"",INDEX(OFFSET(BUNDESLIGA!$W$3:$W$20,20*G$8+2,0),COUNTA($B$9:$B19)))</f>
        <v>5</v>
      </c>
      <c r="H19" s="68">
        <f ca="1">IF(COUNTA(OFFSET(BUNDESLIGA!$G$1:$H$1,11*(H$8-1)+2,0,9))=0,"",INDEX(OFFSET(BUNDESLIGA!$W$3:$W$20,20*H$8+2,0),COUNTA($B$9:$B19)))</f>
        <v>4</v>
      </c>
      <c r="I19" s="68">
        <f ca="1">IF(COUNTA(OFFSET(BUNDESLIGA!$G$1:$H$1,11*(I$8-1)+2,0,9))=0,"",INDEX(OFFSET(BUNDESLIGA!$W$3:$W$20,20*I$8+2,0),COUNTA($B$9:$B19)))</f>
        <v>6</v>
      </c>
      <c r="J19" s="68">
        <f ca="1">IF(COUNTA(OFFSET(BUNDESLIGA!$G$1:$H$1,11*(J$8-1)+2,0,9))=0,"",INDEX(OFFSET(BUNDESLIGA!$W$3:$W$20,20*J$8+2,0),COUNTA($B$9:$B19)))</f>
        <v>7</v>
      </c>
      <c r="K19" s="68">
        <f ca="1">IF(COUNTA(OFFSET(BUNDESLIGA!$G$1:$H$1,11*(K$8-1)+2,0,9))=0,"",INDEX(OFFSET(BUNDESLIGA!$W$3:$W$20,20*K$8+2,0),COUNTA($B$9:$B19)))</f>
        <v>7</v>
      </c>
      <c r="L19" s="68">
        <f ca="1">IF(COUNTA(OFFSET(BUNDESLIGA!$G$1:$H$1,11*(L$8-1)+2,0,9))=0,"",INDEX(OFFSET(BUNDESLIGA!$W$3:$W$20,20*L$8+2,0),COUNTA($B$9:$B19)))</f>
        <v>6</v>
      </c>
      <c r="M19" s="68">
        <f ca="1">IF(COUNTA(OFFSET(BUNDESLIGA!$G$1:$H$1,11*(M$8-1)+2,0,9))=0,"",INDEX(OFFSET(BUNDESLIGA!$W$3:$W$20,20*M$8+2,0),COUNTA($B$9:$B19)))</f>
        <v>7</v>
      </c>
      <c r="N19" s="68">
        <f ca="1">IF(COUNTA(OFFSET(BUNDESLIGA!$G$1:$H$1,11*(N$8-1)+2,0,9))=0,"",INDEX(OFFSET(BUNDESLIGA!$W$3:$W$20,20*N$8+2,0),COUNTA($B$9:$B19)))</f>
        <v>5</v>
      </c>
      <c r="O19" s="68">
        <f ca="1">IF(COUNTA(OFFSET(BUNDESLIGA!$G$1:$H$1,11*(O$8-1)+2,0,9))=0,"",INDEX(OFFSET(BUNDESLIGA!$W$3:$W$20,20*O$8+2,0),COUNTA($B$9:$B19)))</f>
        <v>3</v>
      </c>
      <c r="P19" s="68">
        <f ca="1">IF(COUNTA(OFFSET(BUNDESLIGA!$G$1:$H$1,11*(P$8-1)+2,0,9))=0,"",INDEX(OFFSET(BUNDESLIGA!$W$3:$W$20,20*P$8+2,0),COUNTA($B$9:$B19)))</f>
        <v>4</v>
      </c>
      <c r="Q19" s="68">
        <f ca="1">IF(COUNTA(OFFSET(BUNDESLIGA!$G$1:$H$1,11*(Q$8-1)+2,0,9))=0,"",INDEX(OFFSET(BUNDESLIGA!$W$3:$W$20,20*Q$8+2,0),COUNTA($B$9:$B19)))</f>
        <v>4</v>
      </c>
      <c r="R19" s="68">
        <f ca="1">IF(COUNTA(OFFSET(BUNDESLIGA!$G$1:$H$1,11*(R$8-1)+2,0,9))=0,"",INDEX(OFFSET(BUNDESLIGA!$W$3:$W$20,20*R$8+2,0),COUNTA($B$9:$B19)))</f>
        <v>5</v>
      </c>
      <c r="S19" s="68">
        <f ca="1">IF(COUNTA(OFFSET(BUNDESLIGA!$G$1:$H$1,11*(S$8-1)+2,0,9))=0,"",INDEX(OFFSET(BUNDESLIGA!$W$3:$W$20,20*S$8+2,0),COUNTA($B$9:$B19)))</f>
        <v>5</v>
      </c>
      <c r="T19" s="68">
        <f ca="1">IF(COUNTA(OFFSET(BUNDESLIGA!$G$1:$H$1,11*(T$8-1)+2,0,9))=0,"",INDEX(OFFSET(BUNDESLIGA!$W$3:$W$20,20*T$8+2,0),COUNTA($B$9:$B19)))</f>
        <v>5</v>
      </c>
      <c r="U19" s="68">
        <f ca="1">IF(COUNTA(OFFSET(BUNDESLIGA!$G$1:$H$1,11*(U$8-1)+2,0,9))=0,"",INDEX(OFFSET(BUNDESLIGA!$W$3:$W$20,20*U$8+2,0),COUNTA($B$9:$B19)))</f>
        <v>6</v>
      </c>
      <c r="V19" s="68">
        <f ca="1">IF(COUNTA(OFFSET(BUNDESLIGA!$G$1:$H$1,11*(V$8-1)+2,0,9))=0,"",INDEX(OFFSET(BUNDESLIGA!$W$3:$W$20,20*V$8+2,0),COUNTA($B$9:$B19)))</f>
        <v>6</v>
      </c>
      <c r="W19" s="68">
        <f ca="1">IF(COUNTA(OFFSET(BUNDESLIGA!$G$1:$H$1,11*(W$8-1)+2,0,9))=0,"",INDEX(OFFSET(BUNDESLIGA!$W$3:$W$20,20*W$8+2,0),COUNTA($B$9:$B19)))</f>
        <v>6</v>
      </c>
      <c r="X19" s="68">
        <f ca="1">IF(COUNTA(OFFSET(BUNDESLIGA!$G$1:$H$1,11*(X$8-1)+2,0,9))=0,"",INDEX(OFFSET(BUNDESLIGA!$W$3:$W$20,20*X$8+2,0),COUNTA($B$9:$B19)))</f>
        <v>6</v>
      </c>
      <c r="Y19" s="68">
        <f ca="1">IF(COUNTA(OFFSET(BUNDESLIGA!$G$1:$H$1,11*(Y$8-1)+2,0,9))=0,"",INDEX(OFFSET(BUNDESLIGA!$W$3:$W$20,20*Y$8+2,0),COUNTA($B$9:$B19)))</f>
        <v>6</v>
      </c>
      <c r="Z19" s="68">
        <f ca="1">IF(COUNTA(OFFSET(BUNDESLIGA!$G$1:$H$1,11*(Z$8-1)+2,0,9))=0,"",INDEX(OFFSET(BUNDESLIGA!$W$3:$W$20,20*Z$8+2,0),COUNTA($B$9:$B19)))</f>
        <v>6</v>
      </c>
      <c r="AA19" s="68" t="str">
        <f ca="1">IF(COUNTA(OFFSET(BUNDESLIGA!$G$1:$H$1,11*(AA$8-1)+2,0,9))=0,"",INDEX(OFFSET(BUNDESLIGA!$W$3:$W$20,20*AA$8+2,0),COUNTA($B$9:$B19)))</f>
        <v/>
      </c>
      <c r="AB19" s="68" t="str">
        <f ca="1">IF(COUNTA(OFFSET(BUNDESLIGA!$G$1:$H$1,11*(AB$8-1)+2,0,9))=0,"",INDEX(OFFSET(BUNDESLIGA!$W$3:$W$20,20*AB$8+2,0),COUNTA($B$9:$B19)))</f>
        <v/>
      </c>
      <c r="AC19" s="68" t="str">
        <f ca="1">IF(COUNTA(OFFSET(BUNDESLIGA!$G$1:$H$1,11*(AC$8-1)+2,0,9))=0,"",INDEX(OFFSET(BUNDESLIGA!$W$3:$W$20,20*AC$8+2,0),COUNTA($B$9:$B19)))</f>
        <v/>
      </c>
      <c r="AD19" s="68" t="str">
        <f ca="1">IF(COUNTA(OFFSET(BUNDESLIGA!$G$1:$H$1,11*(AD$8-1)+2,0,9))=0,"",INDEX(OFFSET(BUNDESLIGA!$W$3:$W$20,20*AD$8+2,0),COUNTA($B$9:$B19)))</f>
        <v/>
      </c>
      <c r="AE19" s="68" t="str">
        <f ca="1">IF(COUNTA(OFFSET(BUNDESLIGA!$G$1:$H$1,11*(AE$8-1)+2,0,9))=0,"",INDEX(OFFSET(BUNDESLIGA!$W$3:$W$20,20*AE$8+2,0),COUNTA($B$9:$B19)))</f>
        <v/>
      </c>
      <c r="AF19" s="68" t="str">
        <f ca="1">IF(COUNTA(OFFSET(BUNDESLIGA!$G$1:$H$1,11*(AF$8-1)+2,0,9))=0,"",INDEX(OFFSET(BUNDESLIGA!$W$3:$W$20,20*AF$8+2,0),COUNTA($B$9:$B19)))</f>
        <v/>
      </c>
      <c r="AG19" s="68" t="str">
        <f ca="1">IF(COUNTA(OFFSET(BUNDESLIGA!$G$1:$H$1,11*(AG$8-1)+2,0,9))=0,"",INDEX(OFFSET(BUNDESLIGA!$W$3:$W$20,20*AG$8+2,0),COUNTA($B$9:$B19)))</f>
        <v/>
      </c>
      <c r="AH19" s="68" t="str">
        <f ca="1">IF(COUNTA(OFFSET(BUNDESLIGA!$G$1:$H$1,11*(AH$8-1)+2,0,9))=0,"",INDEX(OFFSET(BUNDESLIGA!$W$3:$W$20,20*AH$8+2,0),COUNTA($B$9:$B19)))</f>
        <v/>
      </c>
      <c r="AI19" s="68" t="str">
        <f ca="1">IF(COUNTA(OFFSET(BUNDESLIGA!$G$1:$H$1,11*(AI$8-1)+2,0,9))=0,"",INDEX(OFFSET(BUNDESLIGA!$W$3:$W$20,20*AI$8+2,0),COUNTA($B$9:$B19)))</f>
        <v/>
      </c>
      <c r="AJ19" s="68" t="str">
        <f ca="1">IF(COUNTA(OFFSET(BUNDESLIGA!$G$1:$H$1,11*(AJ$8-1)+2,0,9))=0,"",INDEX(OFFSET(BUNDESLIGA!$W$3:$W$20,20*AJ$8+2,0),COUNTA($B$9:$B19)))</f>
        <v/>
      </c>
    </row>
    <row r="20" spans="2:36" x14ac:dyDescent="0.25">
      <c r="B20" s="59" t="str">
        <f>CONCATENATE(EQUIPES!F17)</f>
        <v>Fortuna Düsseldorf</v>
      </c>
      <c r="C20" s="68">
        <f ca="1">IF(COUNTA(OFFSET(BUNDESLIGA!$G$1:$H$1,11*(C$8-1)+2,0,9))=0,"",INDEX(OFFSET(BUNDESLIGA!$W$3:$W$20,20*C$8+2,0),COUNTA($B$9:$B20)))</f>
        <v>4</v>
      </c>
      <c r="D20" s="68">
        <f ca="1">IF(COUNTA(OFFSET(BUNDESLIGA!$G$1:$H$1,11*(D$8-1)+2,0,9))=0,"",INDEX(OFFSET(BUNDESLIGA!$W$3:$W$20,20*D$8+2,0),COUNTA($B$9:$B20)))</f>
        <v>8</v>
      </c>
      <c r="E20" s="68">
        <f ca="1">IF(COUNTA(OFFSET(BUNDESLIGA!$G$1:$H$1,11*(E$8-1)+2,0,9))=0,"",INDEX(OFFSET(BUNDESLIGA!$W$3:$W$20,20*E$8+2,0),COUNTA($B$9:$B20)))</f>
        <v>12</v>
      </c>
      <c r="F20" s="68">
        <f ca="1">IF(COUNTA(OFFSET(BUNDESLIGA!$G$1:$H$1,11*(F$8-1)+2,0,9))=0,"",INDEX(OFFSET(BUNDESLIGA!$W$3:$W$20,20*F$8+2,0),COUNTA($B$9:$B20)))</f>
        <v>11</v>
      </c>
      <c r="G20" s="68">
        <f ca="1">IF(COUNTA(OFFSET(BUNDESLIGA!$G$1:$H$1,11*(G$8-1)+2,0,9))=0,"",INDEX(OFFSET(BUNDESLIGA!$W$3:$W$20,20*G$8+2,0),COUNTA($B$9:$B20)))</f>
        <v>13</v>
      </c>
      <c r="H20" s="68">
        <f ca="1">IF(COUNTA(OFFSET(BUNDESLIGA!$G$1:$H$1,11*(H$8-1)+2,0,9))=0,"",INDEX(OFFSET(BUNDESLIGA!$W$3:$W$20,20*H$8+2,0),COUNTA($B$9:$B20)))</f>
        <v>14</v>
      </c>
      <c r="I20" s="68">
        <f ca="1">IF(COUNTA(OFFSET(BUNDESLIGA!$G$1:$H$1,11*(I$8-1)+2,0,9))=0,"",INDEX(OFFSET(BUNDESLIGA!$W$3:$W$20,20*I$8+2,0),COUNTA($B$9:$B20)))</f>
        <v>15</v>
      </c>
      <c r="J20" s="68">
        <f ca="1">IF(COUNTA(OFFSET(BUNDESLIGA!$G$1:$H$1,11*(J$8-1)+2,0,9))=0,"",INDEX(OFFSET(BUNDESLIGA!$W$3:$W$20,20*J$8+2,0),COUNTA($B$9:$B20)))</f>
        <v>13</v>
      </c>
      <c r="K20" s="68">
        <f ca="1">IF(COUNTA(OFFSET(BUNDESLIGA!$G$1:$H$1,11*(K$8-1)+2,0,9))=0,"",INDEX(OFFSET(BUNDESLIGA!$W$3:$W$20,20*K$8+2,0),COUNTA($B$9:$B20)))</f>
        <v>14</v>
      </c>
      <c r="L20" s="68">
        <f ca="1">IF(COUNTA(OFFSET(BUNDESLIGA!$G$1:$H$1,11*(L$8-1)+2,0,9))=0,"",INDEX(OFFSET(BUNDESLIGA!$W$3:$W$20,20*L$8+2,0),COUNTA($B$9:$B20)))</f>
        <v>13</v>
      </c>
      <c r="M20" s="68">
        <f ca="1">IF(COUNTA(OFFSET(BUNDESLIGA!$G$1:$H$1,11*(M$8-1)+2,0,9))=0,"",INDEX(OFFSET(BUNDESLIGA!$W$3:$W$20,20*M$8+2,0),COUNTA($B$9:$B20)))</f>
        <v>13</v>
      </c>
      <c r="N20" s="68">
        <f ca="1">IF(COUNTA(OFFSET(BUNDESLIGA!$G$1:$H$1,11*(N$8-1)+2,0,9))=0,"",INDEX(OFFSET(BUNDESLIGA!$W$3:$W$20,20*N$8+2,0),COUNTA($B$9:$B20)))</f>
        <v>16</v>
      </c>
      <c r="O20" s="68">
        <f ca="1">IF(COUNTA(OFFSET(BUNDESLIGA!$G$1:$H$1,11*(O$8-1)+2,0,9))=0,"",INDEX(OFFSET(BUNDESLIGA!$W$3:$W$20,20*O$8+2,0),COUNTA($B$9:$B20)))</f>
        <v>15</v>
      </c>
      <c r="P20" s="68">
        <f ca="1">IF(COUNTA(OFFSET(BUNDESLIGA!$G$1:$H$1,11*(P$8-1)+2,0,9))=0,"",INDEX(OFFSET(BUNDESLIGA!$W$3:$W$20,20*P$8+2,0),COUNTA($B$9:$B20)))</f>
        <v>16</v>
      </c>
      <c r="Q20" s="68">
        <f ca="1">IF(COUNTA(OFFSET(BUNDESLIGA!$G$1:$H$1,11*(Q$8-1)+2,0,9))=0,"",INDEX(OFFSET(BUNDESLIGA!$W$3:$W$20,20*Q$8+2,0),COUNTA($B$9:$B20)))</f>
        <v>16</v>
      </c>
      <c r="R20" s="68">
        <f ca="1">IF(COUNTA(OFFSET(BUNDESLIGA!$G$1:$H$1,11*(R$8-1)+2,0,9))=0,"",INDEX(OFFSET(BUNDESLIGA!$W$3:$W$20,20*R$8+2,0),COUNTA($B$9:$B20)))</f>
        <v>17</v>
      </c>
      <c r="S20" s="68">
        <f ca="1">IF(COUNTA(OFFSET(BUNDESLIGA!$G$1:$H$1,11*(S$8-1)+2,0,9))=0,"",INDEX(OFFSET(BUNDESLIGA!$W$3:$W$20,20*S$8+2,0),COUNTA($B$9:$B20)))</f>
        <v>16</v>
      </c>
      <c r="T20" s="68">
        <f ca="1">IF(COUNTA(OFFSET(BUNDESLIGA!$G$1:$H$1,11*(T$8-1)+2,0,9))=0,"",INDEX(OFFSET(BUNDESLIGA!$W$3:$W$20,20*T$8+2,0),COUNTA($B$9:$B20)))</f>
        <v>17</v>
      </c>
      <c r="U20" s="68">
        <f ca="1">IF(COUNTA(OFFSET(BUNDESLIGA!$G$1:$H$1,11*(U$8-1)+2,0,9))=0,"",INDEX(OFFSET(BUNDESLIGA!$W$3:$W$20,20*U$8+2,0),COUNTA($B$9:$B20)))</f>
        <v>18</v>
      </c>
      <c r="V20" s="68">
        <f ca="1">IF(COUNTA(OFFSET(BUNDESLIGA!$G$1:$H$1,11*(V$8-1)+2,0,9))=0,"",INDEX(OFFSET(BUNDESLIGA!$W$3:$W$20,20*V$8+2,0),COUNTA($B$9:$B20)))</f>
        <v>17</v>
      </c>
      <c r="W20" s="68">
        <f ca="1">IF(COUNTA(OFFSET(BUNDESLIGA!$G$1:$H$1,11*(W$8-1)+2,0,9))=0,"",INDEX(OFFSET(BUNDESLIGA!$W$3:$W$20,20*W$8+2,0),COUNTA($B$9:$B20)))</f>
        <v>16</v>
      </c>
      <c r="X20" s="68">
        <f ca="1">IF(COUNTA(OFFSET(BUNDESLIGA!$G$1:$H$1,11*(X$8-1)+2,0,9))=0,"",INDEX(OFFSET(BUNDESLIGA!$W$3:$W$20,20*X$8+2,0),COUNTA($B$9:$B20)))</f>
        <v>16</v>
      </c>
      <c r="Y20" s="68">
        <f ca="1">IF(COUNTA(OFFSET(BUNDESLIGA!$G$1:$H$1,11*(Y$8-1)+2,0,9))=0,"",INDEX(OFFSET(BUNDESLIGA!$W$3:$W$20,20*Y$8+2,0),COUNTA($B$9:$B20)))</f>
        <v>16</v>
      </c>
      <c r="Z20" s="68">
        <f ca="1">IF(COUNTA(OFFSET(BUNDESLIGA!$G$1:$H$1,11*(Z$8-1)+2,0,9))=0,"",INDEX(OFFSET(BUNDESLIGA!$W$3:$W$20,20*Z$8+2,0),COUNTA($B$9:$B20)))</f>
        <v>16</v>
      </c>
      <c r="AA20" s="68" t="str">
        <f ca="1">IF(COUNTA(OFFSET(BUNDESLIGA!$G$1:$H$1,11*(AA$8-1)+2,0,9))=0,"",INDEX(OFFSET(BUNDESLIGA!$W$3:$W$20,20*AA$8+2,0),COUNTA($B$9:$B20)))</f>
        <v/>
      </c>
      <c r="AB20" s="68" t="str">
        <f ca="1">IF(COUNTA(OFFSET(BUNDESLIGA!$G$1:$H$1,11*(AB$8-1)+2,0,9))=0,"",INDEX(OFFSET(BUNDESLIGA!$W$3:$W$20,20*AB$8+2,0),COUNTA($B$9:$B20)))</f>
        <v/>
      </c>
      <c r="AC20" s="68" t="str">
        <f ca="1">IF(COUNTA(OFFSET(BUNDESLIGA!$G$1:$H$1,11*(AC$8-1)+2,0,9))=0,"",INDEX(OFFSET(BUNDESLIGA!$W$3:$W$20,20*AC$8+2,0),COUNTA($B$9:$B20)))</f>
        <v/>
      </c>
      <c r="AD20" s="68" t="str">
        <f ca="1">IF(COUNTA(OFFSET(BUNDESLIGA!$G$1:$H$1,11*(AD$8-1)+2,0,9))=0,"",INDEX(OFFSET(BUNDESLIGA!$W$3:$W$20,20*AD$8+2,0),COUNTA($B$9:$B20)))</f>
        <v/>
      </c>
      <c r="AE20" s="68" t="str">
        <f ca="1">IF(COUNTA(OFFSET(BUNDESLIGA!$G$1:$H$1,11*(AE$8-1)+2,0,9))=0,"",INDEX(OFFSET(BUNDESLIGA!$W$3:$W$20,20*AE$8+2,0),COUNTA($B$9:$B20)))</f>
        <v/>
      </c>
      <c r="AF20" s="68" t="str">
        <f ca="1">IF(COUNTA(OFFSET(BUNDESLIGA!$G$1:$H$1,11*(AF$8-1)+2,0,9))=0,"",INDEX(OFFSET(BUNDESLIGA!$W$3:$W$20,20*AF$8+2,0),COUNTA($B$9:$B20)))</f>
        <v/>
      </c>
      <c r="AG20" s="68" t="str">
        <f ca="1">IF(COUNTA(OFFSET(BUNDESLIGA!$G$1:$H$1,11*(AG$8-1)+2,0,9))=0,"",INDEX(OFFSET(BUNDESLIGA!$W$3:$W$20,20*AG$8+2,0),COUNTA($B$9:$B20)))</f>
        <v/>
      </c>
      <c r="AH20" s="68" t="str">
        <f ca="1">IF(COUNTA(OFFSET(BUNDESLIGA!$G$1:$H$1,11*(AH$8-1)+2,0,9))=0,"",INDEX(OFFSET(BUNDESLIGA!$W$3:$W$20,20*AH$8+2,0),COUNTA($B$9:$B20)))</f>
        <v/>
      </c>
      <c r="AI20" s="68" t="str">
        <f ca="1">IF(COUNTA(OFFSET(BUNDESLIGA!$G$1:$H$1,11*(AI$8-1)+2,0,9))=0,"",INDEX(OFFSET(BUNDESLIGA!$W$3:$W$20,20*AI$8+2,0),COUNTA($B$9:$B20)))</f>
        <v/>
      </c>
      <c r="AJ20" s="68" t="str">
        <f ca="1">IF(COUNTA(OFFSET(BUNDESLIGA!$G$1:$H$1,11*(AJ$8-1)+2,0,9))=0,"",INDEX(OFFSET(BUNDESLIGA!$W$3:$W$20,20*AJ$8+2,0),COUNTA($B$9:$B20)))</f>
        <v/>
      </c>
    </row>
    <row r="21" spans="2:36" x14ac:dyDescent="0.25">
      <c r="B21" s="59" t="str">
        <f>CONCATENATE(EQUIPES!F18)</f>
        <v>Hertha BSC</v>
      </c>
      <c r="C21" s="68">
        <f ca="1">IF(COUNTA(OFFSET(BUNDESLIGA!$G$1:$H$1,11*(C$8-1)+2,0,9))=0,"",INDEX(OFFSET(BUNDESLIGA!$W$3:$W$20,20*C$8+2,0),COUNTA($B$9:$B21)))</f>
        <v>9</v>
      </c>
      <c r="D21" s="68">
        <f ca="1">IF(COUNTA(OFFSET(BUNDESLIGA!$G$1:$H$1,11*(D$8-1)+2,0,9))=0,"",INDEX(OFFSET(BUNDESLIGA!$W$3:$W$20,20*D$8+2,0),COUNTA($B$9:$B21)))</f>
        <v>11</v>
      </c>
      <c r="E21" s="68">
        <f ca="1">IF(COUNTA(OFFSET(BUNDESLIGA!$G$1:$H$1,11*(E$8-1)+2,0,9))=0,"",INDEX(OFFSET(BUNDESLIGA!$W$3:$W$20,20*E$8+2,0),COUNTA($B$9:$B21)))</f>
        <v>17</v>
      </c>
      <c r="F21" s="68">
        <f ca="1">IF(COUNTA(OFFSET(BUNDESLIGA!$G$1:$H$1,11*(F$8-1)+2,0,9))=0,"",INDEX(OFFSET(BUNDESLIGA!$W$3:$W$20,20*F$8+2,0),COUNTA($B$9:$B21)))</f>
        <v>18</v>
      </c>
      <c r="G21" s="68">
        <f ca="1">IF(COUNTA(OFFSET(BUNDESLIGA!$G$1:$H$1,11*(G$8-1)+2,0,9))=0,"",INDEX(OFFSET(BUNDESLIGA!$W$3:$W$20,20*G$8+2,0),COUNTA($B$9:$B21)))</f>
        <v>15</v>
      </c>
      <c r="H21" s="68">
        <f ca="1">IF(COUNTA(OFFSET(BUNDESLIGA!$G$1:$H$1,11*(H$8-1)+2,0,9))=0,"",INDEX(OFFSET(BUNDESLIGA!$W$3:$W$20,20*H$8+2,0),COUNTA($B$9:$B21)))</f>
        <v>10</v>
      </c>
      <c r="I21" s="68">
        <f ca="1">IF(COUNTA(OFFSET(BUNDESLIGA!$G$1:$H$1,11*(I$8-1)+2,0,9))=0,"",INDEX(OFFSET(BUNDESLIGA!$W$3:$W$20,20*I$8+2,0),COUNTA($B$9:$B21)))</f>
        <v>10</v>
      </c>
      <c r="J21" s="68">
        <f ca="1">IF(COUNTA(OFFSET(BUNDESLIGA!$G$1:$H$1,11*(J$8-1)+2,0,9))=0,"",INDEX(OFFSET(BUNDESLIGA!$W$3:$W$20,20*J$8+2,0),COUNTA($B$9:$B21)))</f>
        <v>10</v>
      </c>
      <c r="K21" s="68">
        <f ca="1">IF(COUNTA(OFFSET(BUNDESLIGA!$G$1:$H$1,11*(K$8-1)+2,0,9))=0,"",INDEX(OFFSET(BUNDESLIGA!$W$3:$W$20,20*K$8+2,0),COUNTA($B$9:$B21)))</f>
        <v>11</v>
      </c>
      <c r="L21" s="68">
        <f ca="1">IF(COUNTA(OFFSET(BUNDESLIGA!$G$1:$H$1,11*(L$8-1)+2,0,9))=0,"",INDEX(OFFSET(BUNDESLIGA!$W$3:$W$20,20*L$8+2,0),COUNTA($B$9:$B21)))</f>
        <v>11</v>
      </c>
      <c r="M21" s="68">
        <f ca="1">IF(COUNTA(OFFSET(BUNDESLIGA!$G$1:$H$1,11*(M$8-1)+2,0,9))=0,"",INDEX(OFFSET(BUNDESLIGA!$W$3:$W$20,20*M$8+2,0),COUNTA($B$9:$B21)))</f>
        <v>12</v>
      </c>
      <c r="N21" s="68">
        <f ca="1">IF(COUNTA(OFFSET(BUNDESLIGA!$G$1:$H$1,11*(N$8-1)+2,0,9))=0,"",INDEX(OFFSET(BUNDESLIGA!$W$3:$W$20,20*N$8+2,0),COUNTA($B$9:$B21)))</f>
        <v>15</v>
      </c>
      <c r="O21" s="68">
        <f ca="1">IF(COUNTA(OFFSET(BUNDESLIGA!$G$1:$H$1,11*(O$8-1)+2,0,9))=0,"",INDEX(OFFSET(BUNDESLIGA!$W$3:$W$20,20*O$8+2,0),COUNTA($B$9:$B21)))</f>
        <v>16</v>
      </c>
      <c r="P21" s="68">
        <f ca="1">IF(COUNTA(OFFSET(BUNDESLIGA!$G$1:$H$1,11*(P$8-1)+2,0,9))=0,"",INDEX(OFFSET(BUNDESLIGA!$W$3:$W$20,20*P$8+2,0),COUNTA($B$9:$B21)))</f>
        <v>15</v>
      </c>
      <c r="Q21" s="68">
        <f ca="1">IF(COUNTA(OFFSET(BUNDESLIGA!$G$1:$H$1,11*(Q$8-1)+2,0,9))=0,"",INDEX(OFFSET(BUNDESLIGA!$W$3:$W$20,20*Q$8+2,0),COUNTA($B$9:$B21)))</f>
        <v>13</v>
      </c>
      <c r="R21" s="68">
        <f ca="1">IF(COUNTA(OFFSET(BUNDESLIGA!$G$1:$H$1,11*(R$8-1)+2,0,9))=0,"",INDEX(OFFSET(BUNDESLIGA!$W$3:$W$20,20*R$8+2,0),COUNTA($B$9:$B21)))</f>
        <v>13</v>
      </c>
      <c r="S21" s="68">
        <f ca="1">IF(COUNTA(OFFSET(BUNDESLIGA!$G$1:$H$1,11*(S$8-1)+2,0,9))=0,"",INDEX(OFFSET(BUNDESLIGA!$W$3:$W$20,20*S$8+2,0),COUNTA($B$9:$B21)))</f>
        <v>12</v>
      </c>
      <c r="T21" s="68">
        <f ca="1">IF(COUNTA(OFFSET(BUNDESLIGA!$G$1:$H$1,11*(T$8-1)+2,0,9))=0,"",INDEX(OFFSET(BUNDESLIGA!$W$3:$W$20,20*T$8+2,0),COUNTA($B$9:$B21)))</f>
        <v>14</v>
      </c>
      <c r="U21" s="68">
        <f ca="1">IF(COUNTA(OFFSET(BUNDESLIGA!$G$1:$H$1,11*(U$8-1)+2,0,9))=0,"",INDEX(OFFSET(BUNDESLIGA!$W$3:$W$20,20*U$8+2,0),COUNTA($B$9:$B21)))</f>
        <v>13</v>
      </c>
      <c r="V21" s="68">
        <f ca="1">IF(COUNTA(OFFSET(BUNDESLIGA!$G$1:$H$1,11*(V$8-1)+2,0,9))=0,"",INDEX(OFFSET(BUNDESLIGA!$W$3:$W$20,20*V$8+2,0),COUNTA($B$9:$B21)))</f>
        <v>13</v>
      </c>
      <c r="W21" s="68">
        <f ca="1">IF(COUNTA(OFFSET(BUNDESLIGA!$G$1:$H$1,11*(W$8-1)+2,0,9))=0,"",INDEX(OFFSET(BUNDESLIGA!$W$3:$W$20,20*W$8+2,0),COUNTA($B$9:$B21)))</f>
        <v>14</v>
      </c>
      <c r="X21" s="68">
        <f ca="1">IF(COUNTA(OFFSET(BUNDESLIGA!$G$1:$H$1,11*(X$8-1)+2,0,9))=0,"",INDEX(OFFSET(BUNDESLIGA!$W$3:$W$20,20*X$8+2,0),COUNTA($B$9:$B21)))</f>
        <v>13</v>
      </c>
      <c r="Y21" s="68">
        <f ca="1">IF(COUNTA(OFFSET(BUNDESLIGA!$G$1:$H$1,11*(Y$8-1)+2,0,9))=0,"",INDEX(OFFSET(BUNDESLIGA!$W$3:$W$20,20*Y$8+2,0),COUNTA($B$9:$B21)))</f>
        <v>14</v>
      </c>
      <c r="Z21" s="68">
        <f ca="1">IF(COUNTA(OFFSET(BUNDESLIGA!$G$1:$H$1,11*(Z$8-1)+2,0,9))=0,"",INDEX(OFFSET(BUNDESLIGA!$W$3:$W$20,20*Z$8+2,0),COUNTA($B$9:$B21)))</f>
        <v>14</v>
      </c>
      <c r="AA21" s="68" t="str">
        <f ca="1">IF(COUNTA(OFFSET(BUNDESLIGA!$G$1:$H$1,11*(AA$8-1)+2,0,9))=0,"",INDEX(OFFSET(BUNDESLIGA!$W$3:$W$20,20*AA$8+2,0),COUNTA($B$9:$B21)))</f>
        <v/>
      </c>
      <c r="AB21" s="68" t="str">
        <f ca="1">IF(COUNTA(OFFSET(BUNDESLIGA!$G$1:$H$1,11*(AB$8-1)+2,0,9))=0,"",INDEX(OFFSET(BUNDESLIGA!$W$3:$W$20,20*AB$8+2,0),COUNTA($B$9:$B21)))</f>
        <v/>
      </c>
      <c r="AC21" s="68" t="str">
        <f ca="1">IF(COUNTA(OFFSET(BUNDESLIGA!$G$1:$H$1,11*(AC$8-1)+2,0,9))=0,"",INDEX(OFFSET(BUNDESLIGA!$W$3:$W$20,20*AC$8+2,0),COUNTA($B$9:$B21)))</f>
        <v/>
      </c>
      <c r="AD21" s="68" t="str">
        <f ca="1">IF(COUNTA(OFFSET(BUNDESLIGA!$G$1:$H$1,11*(AD$8-1)+2,0,9))=0,"",INDEX(OFFSET(BUNDESLIGA!$W$3:$W$20,20*AD$8+2,0),COUNTA($B$9:$B21)))</f>
        <v/>
      </c>
      <c r="AE21" s="68" t="str">
        <f ca="1">IF(COUNTA(OFFSET(BUNDESLIGA!$G$1:$H$1,11*(AE$8-1)+2,0,9))=0,"",INDEX(OFFSET(BUNDESLIGA!$W$3:$W$20,20*AE$8+2,0),COUNTA($B$9:$B21)))</f>
        <v/>
      </c>
      <c r="AF21" s="68" t="str">
        <f ca="1">IF(COUNTA(OFFSET(BUNDESLIGA!$G$1:$H$1,11*(AF$8-1)+2,0,9))=0,"",INDEX(OFFSET(BUNDESLIGA!$W$3:$W$20,20*AF$8+2,0),COUNTA($B$9:$B21)))</f>
        <v/>
      </c>
      <c r="AG21" s="68" t="str">
        <f ca="1">IF(COUNTA(OFFSET(BUNDESLIGA!$G$1:$H$1,11*(AG$8-1)+2,0,9))=0,"",INDEX(OFFSET(BUNDESLIGA!$W$3:$W$20,20*AG$8+2,0),COUNTA($B$9:$B21)))</f>
        <v/>
      </c>
      <c r="AH21" s="68" t="str">
        <f ca="1">IF(COUNTA(OFFSET(BUNDESLIGA!$G$1:$H$1,11*(AH$8-1)+2,0,9))=0,"",INDEX(OFFSET(BUNDESLIGA!$W$3:$W$20,20*AH$8+2,0),COUNTA($B$9:$B21)))</f>
        <v/>
      </c>
      <c r="AI21" s="68" t="str">
        <f ca="1">IF(COUNTA(OFFSET(BUNDESLIGA!$G$1:$H$1,11*(AI$8-1)+2,0,9))=0,"",INDEX(OFFSET(BUNDESLIGA!$W$3:$W$20,20*AI$8+2,0),COUNTA($B$9:$B21)))</f>
        <v/>
      </c>
      <c r="AJ21" s="68" t="str">
        <f ca="1">IF(COUNTA(OFFSET(BUNDESLIGA!$G$1:$H$1,11*(AJ$8-1)+2,0,9))=0,"",INDEX(OFFSET(BUNDESLIGA!$W$3:$W$20,20*AJ$8+2,0),COUNTA($B$9:$B21)))</f>
        <v/>
      </c>
    </row>
    <row r="22" spans="2:36" x14ac:dyDescent="0.25">
      <c r="B22" s="59" t="str">
        <f>CONCATENATE(EQUIPES!F19)</f>
        <v>RB Leipzig</v>
      </c>
      <c r="C22" s="68">
        <f ca="1">IF(COUNTA(OFFSET(BUNDESLIGA!$G$1:$H$1,11*(C$8-1)+2,0,9))=0,"",INDEX(OFFSET(BUNDESLIGA!$W$3:$W$20,20*C$8+2,0),COUNTA($B$9:$B22)))</f>
        <v>2</v>
      </c>
      <c r="D22" s="68">
        <f ca="1">IF(COUNTA(OFFSET(BUNDESLIGA!$G$1:$H$1,11*(D$8-1)+2,0,9))=0,"",INDEX(OFFSET(BUNDESLIGA!$W$3:$W$20,20*D$8+2,0),COUNTA($B$9:$B22)))</f>
        <v>2</v>
      </c>
      <c r="E22" s="68">
        <f ca="1">IF(COUNTA(OFFSET(BUNDESLIGA!$G$1:$H$1,11*(E$8-1)+2,0,9))=0,"",INDEX(OFFSET(BUNDESLIGA!$W$3:$W$20,20*E$8+2,0),COUNTA($B$9:$B22)))</f>
        <v>1</v>
      </c>
      <c r="F22" s="68">
        <f ca="1">IF(COUNTA(OFFSET(BUNDESLIGA!$G$1:$H$1,11*(F$8-1)+2,0,9))=0,"",INDEX(OFFSET(BUNDESLIGA!$W$3:$W$20,20*F$8+2,0),COUNTA($B$9:$B22)))</f>
        <v>1</v>
      </c>
      <c r="G22" s="68">
        <f ca="1">IF(COUNTA(OFFSET(BUNDESLIGA!$G$1:$H$1,11*(G$8-1)+2,0,9))=0,"",INDEX(OFFSET(BUNDESLIGA!$W$3:$W$20,20*G$8+2,0),COUNTA($B$9:$B22)))</f>
        <v>1</v>
      </c>
      <c r="H22" s="68">
        <f ca="1">IF(COUNTA(OFFSET(BUNDESLIGA!$G$1:$H$1,11*(H$8-1)+2,0,9))=0,"",INDEX(OFFSET(BUNDESLIGA!$W$3:$W$20,20*H$8+2,0),COUNTA($B$9:$B22)))</f>
        <v>2</v>
      </c>
      <c r="I22" s="68">
        <f ca="1">IF(COUNTA(OFFSET(BUNDESLIGA!$G$1:$H$1,11*(I$8-1)+2,0,9))=0,"",INDEX(OFFSET(BUNDESLIGA!$W$3:$W$20,20*I$8+2,0),COUNTA($B$9:$B22)))</f>
        <v>4</v>
      </c>
      <c r="J22" s="68">
        <f ca="1">IF(COUNTA(OFFSET(BUNDESLIGA!$G$1:$H$1,11*(J$8-1)+2,0,9))=0,"",INDEX(OFFSET(BUNDESLIGA!$W$3:$W$20,20*J$8+2,0),COUNTA($B$9:$B22)))</f>
        <v>5</v>
      </c>
      <c r="K22" s="68">
        <f ca="1">IF(COUNTA(OFFSET(BUNDESLIGA!$G$1:$H$1,11*(K$8-1)+2,0,9))=0,"",INDEX(OFFSET(BUNDESLIGA!$W$3:$W$20,20*K$8+2,0),COUNTA($B$9:$B22)))</f>
        <v>6</v>
      </c>
      <c r="L22" s="68">
        <f ca="1">IF(COUNTA(OFFSET(BUNDESLIGA!$G$1:$H$1,11*(L$8-1)+2,0,9))=0,"",INDEX(OFFSET(BUNDESLIGA!$W$3:$W$20,20*L$8+2,0),COUNTA($B$9:$B22)))</f>
        <v>3</v>
      </c>
      <c r="M22" s="68">
        <f ca="1">IF(COUNTA(OFFSET(BUNDESLIGA!$G$1:$H$1,11*(M$8-1)+2,0,9))=0,"",INDEX(OFFSET(BUNDESLIGA!$W$3:$W$20,20*M$8+2,0),COUNTA($B$9:$B22)))</f>
        <v>2</v>
      </c>
      <c r="N22" s="68">
        <f ca="1">IF(COUNTA(OFFSET(BUNDESLIGA!$G$1:$H$1,11*(N$8-1)+2,0,9))=0,"",INDEX(OFFSET(BUNDESLIGA!$W$3:$W$20,20*N$8+2,0),COUNTA($B$9:$B22)))</f>
        <v>2</v>
      </c>
      <c r="O22" s="68">
        <f ca="1">IF(COUNTA(OFFSET(BUNDESLIGA!$G$1:$H$1,11*(O$8-1)+2,0,9))=0,"",INDEX(OFFSET(BUNDESLIGA!$W$3:$W$20,20*O$8+2,0),COUNTA($B$9:$B22)))</f>
        <v>2</v>
      </c>
      <c r="P22" s="68">
        <f ca="1">IF(COUNTA(OFFSET(BUNDESLIGA!$G$1:$H$1,11*(P$8-1)+2,0,9))=0,"",INDEX(OFFSET(BUNDESLIGA!$W$3:$W$20,20*P$8+2,0),COUNTA($B$9:$B22)))</f>
        <v>2</v>
      </c>
      <c r="Q22" s="68">
        <f ca="1">IF(COUNTA(OFFSET(BUNDESLIGA!$G$1:$H$1,11*(Q$8-1)+2,0,9))=0,"",INDEX(OFFSET(BUNDESLIGA!$W$3:$W$20,20*Q$8+2,0),COUNTA($B$9:$B22)))</f>
        <v>1</v>
      </c>
      <c r="R22" s="68">
        <f ca="1">IF(COUNTA(OFFSET(BUNDESLIGA!$G$1:$H$1,11*(R$8-1)+2,0,9))=0,"",INDEX(OFFSET(BUNDESLIGA!$W$3:$W$20,20*R$8+2,0),COUNTA($B$9:$B22)))</f>
        <v>1</v>
      </c>
      <c r="S22" s="68">
        <f ca="1">IF(COUNTA(OFFSET(BUNDESLIGA!$G$1:$H$1,11*(S$8-1)+2,0,9))=0,"",INDEX(OFFSET(BUNDESLIGA!$W$3:$W$20,20*S$8+2,0),COUNTA($B$9:$B22)))</f>
        <v>1</v>
      </c>
      <c r="T22" s="68">
        <f ca="1">IF(COUNTA(OFFSET(BUNDESLIGA!$G$1:$H$1,11*(T$8-1)+2,0,9))=0,"",INDEX(OFFSET(BUNDESLIGA!$W$3:$W$20,20*T$8+2,0),COUNTA($B$9:$B22)))</f>
        <v>1</v>
      </c>
      <c r="U22" s="68">
        <f ca="1">IF(COUNTA(OFFSET(BUNDESLIGA!$G$1:$H$1,11*(U$8-1)+2,0,9))=0,"",INDEX(OFFSET(BUNDESLIGA!$W$3:$W$20,20*U$8+2,0),COUNTA($B$9:$B22)))</f>
        <v>1</v>
      </c>
      <c r="V22" s="68">
        <f ca="1">IF(COUNTA(OFFSET(BUNDESLIGA!$G$1:$H$1,11*(V$8-1)+2,0,9))=0,"",INDEX(OFFSET(BUNDESLIGA!$W$3:$W$20,20*V$8+2,0),COUNTA($B$9:$B22)))</f>
        <v>2</v>
      </c>
      <c r="W22" s="68">
        <f ca="1">IF(COUNTA(OFFSET(BUNDESLIGA!$G$1:$H$1,11*(W$8-1)+2,0,9))=0,"",INDEX(OFFSET(BUNDESLIGA!$W$3:$W$20,20*W$8+2,0),COUNTA($B$9:$B22)))</f>
        <v>2</v>
      </c>
      <c r="X22" s="68">
        <f ca="1">IF(COUNTA(OFFSET(BUNDESLIGA!$G$1:$H$1,11*(X$8-1)+2,0,9))=0,"",INDEX(OFFSET(BUNDESLIGA!$W$3:$W$20,20*X$8+2,0),COUNTA($B$9:$B22)))</f>
        <v>2</v>
      </c>
      <c r="Y22" s="68">
        <f ca="1">IF(COUNTA(OFFSET(BUNDESLIGA!$G$1:$H$1,11*(Y$8-1)+2,0,9))=0,"",INDEX(OFFSET(BUNDESLIGA!$W$3:$W$20,20*Y$8+2,0),COUNTA($B$9:$B22)))</f>
        <v>2</v>
      </c>
      <c r="Z22" s="68">
        <f ca="1">IF(COUNTA(OFFSET(BUNDESLIGA!$G$1:$H$1,11*(Z$8-1)+2,0,9))=0,"",INDEX(OFFSET(BUNDESLIGA!$W$3:$W$20,20*Z$8+2,0),COUNTA($B$9:$B22)))</f>
        <v>2</v>
      </c>
      <c r="AA22" s="68" t="str">
        <f ca="1">IF(COUNTA(OFFSET(BUNDESLIGA!$G$1:$H$1,11*(AA$8-1)+2,0,9))=0,"",INDEX(OFFSET(BUNDESLIGA!$W$3:$W$20,20*AA$8+2,0),COUNTA($B$9:$B22)))</f>
        <v/>
      </c>
      <c r="AB22" s="68" t="str">
        <f ca="1">IF(COUNTA(OFFSET(BUNDESLIGA!$G$1:$H$1,11*(AB$8-1)+2,0,9))=0,"",INDEX(OFFSET(BUNDESLIGA!$W$3:$W$20,20*AB$8+2,0),COUNTA($B$9:$B22)))</f>
        <v/>
      </c>
      <c r="AC22" s="68" t="str">
        <f ca="1">IF(COUNTA(OFFSET(BUNDESLIGA!$G$1:$H$1,11*(AC$8-1)+2,0,9))=0,"",INDEX(OFFSET(BUNDESLIGA!$W$3:$W$20,20*AC$8+2,0),COUNTA($B$9:$B22)))</f>
        <v/>
      </c>
      <c r="AD22" s="68" t="str">
        <f ca="1">IF(COUNTA(OFFSET(BUNDESLIGA!$G$1:$H$1,11*(AD$8-1)+2,0,9))=0,"",INDEX(OFFSET(BUNDESLIGA!$W$3:$W$20,20*AD$8+2,0),COUNTA($B$9:$B22)))</f>
        <v/>
      </c>
      <c r="AE22" s="68" t="str">
        <f ca="1">IF(COUNTA(OFFSET(BUNDESLIGA!$G$1:$H$1,11*(AE$8-1)+2,0,9))=0,"",INDEX(OFFSET(BUNDESLIGA!$W$3:$W$20,20*AE$8+2,0),COUNTA($B$9:$B22)))</f>
        <v/>
      </c>
      <c r="AF22" s="68" t="str">
        <f ca="1">IF(COUNTA(OFFSET(BUNDESLIGA!$G$1:$H$1,11*(AF$8-1)+2,0,9))=0,"",INDEX(OFFSET(BUNDESLIGA!$W$3:$W$20,20*AF$8+2,0),COUNTA($B$9:$B22)))</f>
        <v/>
      </c>
      <c r="AG22" s="68" t="str">
        <f ca="1">IF(COUNTA(OFFSET(BUNDESLIGA!$G$1:$H$1,11*(AG$8-1)+2,0,9))=0,"",INDEX(OFFSET(BUNDESLIGA!$W$3:$W$20,20*AG$8+2,0),COUNTA($B$9:$B22)))</f>
        <v/>
      </c>
      <c r="AH22" s="68" t="str">
        <f ca="1">IF(COUNTA(OFFSET(BUNDESLIGA!$G$1:$H$1,11*(AH$8-1)+2,0,9))=0,"",INDEX(OFFSET(BUNDESLIGA!$W$3:$W$20,20*AH$8+2,0),COUNTA($B$9:$B22)))</f>
        <v/>
      </c>
      <c r="AI22" s="68" t="str">
        <f ca="1">IF(COUNTA(OFFSET(BUNDESLIGA!$G$1:$H$1,11*(AI$8-1)+2,0,9))=0,"",INDEX(OFFSET(BUNDESLIGA!$W$3:$W$20,20*AI$8+2,0),COUNTA($B$9:$B22)))</f>
        <v/>
      </c>
      <c r="AJ22" s="68" t="str">
        <f ca="1">IF(COUNTA(OFFSET(BUNDESLIGA!$G$1:$H$1,11*(AJ$8-1)+2,0,9))=0,"",INDEX(OFFSET(BUNDESLIGA!$W$3:$W$20,20*AJ$8+2,0),COUNTA($B$9:$B22)))</f>
        <v/>
      </c>
    </row>
    <row r="23" spans="2:36" x14ac:dyDescent="0.25">
      <c r="B23" s="59" t="str">
        <f>CONCATENATE(EQUIPES!F20)</f>
        <v>SC Freiburg</v>
      </c>
      <c r="C23" s="68">
        <f ca="1">IF(COUNTA(OFFSET(BUNDESLIGA!$G$1:$H$1,11*(C$8-1)+2,0,9))=0,"",INDEX(OFFSET(BUNDESLIGA!$W$3:$W$20,20*C$8+2,0),COUNTA($B$9:$B23)))</f>
        <v>3</v>
      </c>
      <c r="D23" s="68">
        <f ca="1">IF(COUNTA(OFFSET(BUNDESLIGA!$G$1:$H$1,11*(D$8-1)+2,0,9))=0,"",INDEX(OFFSET(BUNDESLIGA!$W$3:$W$20,20*D$8+2,0),COUNTA($B$9:$B23)))</f>
        <v>3</v>
      </c>
      <c r="E23" s="68">
        <f ca="1">IF(COUNTA(OFFSET(BUNDESLIGA!$G$1:$H$1,11*(E$8-1)+2,0,9))=0,"",INDEX(OFFSET(BUNDESLIGA!$W$3:$W$20,20*E$8+2,0),COUNTA($B$9:$B23)))</f>
        <v>6</v>
      </c>
      <c r="F23" s="68">
        <f ca="1">IF(COUNTA(OFFSET(BUNDESLIGA!$G$1:$H$1,11*(F$8-1)+2,0,9))=0,"",INDEX(OFFSET(BUNDESLIGA!$W$3:$W$20,20*F$8+2,0),COUNTA($B$9:$B23)))</f>
        <v>3</v>
      </c>
      <c r="G23" s="68">
        <f ca="1">IF(COUNTA(OFFSET(BUNDESLIGA!$G$1:$H$1,11*(G$8-1)+2,0,9))=0,"",INDEX(OFFSET(BUNDESLIGA!$W$3:$W$20,20*G$8+2,0),COUNTA($B$9:$B23)))</f>
        <v>4</v>
      </c>
      <c r="H23" s="68">
        <f ca="1">IF(COUNTA(OFFSET(BUNDESLIGA!$G$1:$H$1,11*(H$8-1)+2,0,9))=0,"",INDEX(OFFSET(BUNDESLIGA!$W$3:$W$20,20*H$8+2,0),COUNTA($B$9:$B23)))</f>
        <v>3</v>
      </c>
      <c r="I23" s="68">
        <f ca="1">IF(COUNTA(OFFSET(BUNDESLIGA!$G$1:$H$1,11*(I$8-1)+2,0,9))=0,"",INDEX(OFFSET(BUNDESLIGA!$W$3:$W$20,20*I$8+2,0),COUNTA($B$9:$B23)))</f>
        <v>5</v>
      </c>
      <c r="J23" s="68">
        <f ca="1">IF(COUNTA(OFFSET(BUNDESLIGA!$G$1:$H$1,11*(J$8-1)+2,0,9))=0,"",INDEX(OFFSET(BUNDESLIGA!$W$3:$W$20,20*J$8+2,0),COUNTA($B$9:$B23)))</f>
        <v>6</v>
      </c>
      <c r="K23" s="68">
        <f ca="1">IF(COUNTA(OFFSET(BUNDESLIGA!$G$1:$H$1,11*(K$8-1)+2,0,9))=0,"",INDEX(OFFSET(BUNDESLIGA!$W$3:$W$20,20*K$8+2,0),COUNTA($B$9:$B23)))</f>
        <v>3</v>
      </c>
      <c r="L23" s="68">
        <f ca="1">IF(COUNTA(OFFSET(BUNDESLIGA!$G$1:$H$1,11*(L$8-1)+2,0,9))=0,"",INDEX(OFFSET(BUNDESLIGA!$W$3:$W$20,20*L$8+2,0),COUNTA($B$9:$B23)))</f>
        <v>5</v>
      </c>
      <c r="M23" s="68">
        <f ca="1">IF(COUNTA(OFFSET(BUNDESLIGA!$G$1:$H$1,11*(M$8-1)+2,0,9))=0,"",INDEX(OFFSET(BUNDESLIGA!$W$3:$W$20,20*M$8+2,0),COUNTA($B$9:$B23)))</f>
        <v>4</v>
      </c>
      <c r="N23" s="68">
        <f ca="1">IF(COUNTA(OFFSET(BUNDESLIGA!$G$1:$H$1,11*(N$8-1)+2,0,9))=0,"",INDEX(OFFSET(BUNDESLIGA!$W$3:$W$20,20*N$8+2,0),COUNTA($B$9:$B23)))</f>
        <v>4</v>
      </c>
      <c r="O23" s="68">
        <f ca="1">IF(COUNTA(OFFSET(BUNDESLIGA!$G$1:$H$1,11*(O$8-1)+2,0,9))=0,"",INDEX(OFFSET(BUNDESLIGA!$W$3:$W$20,20*O$8+2,0),COUNTA($B$9:$B23)))</f>
        <v>6</v>
      </c>
      <c r="P23" s="68">
        <f ca="1">IF(COUNTA(OFFSET(BUNDESLIGA!$G$1:$H$1,11*(P$8-1)+2,0,9))=0,"",INDEX(OFFSET(BUNDESLIGA!$W$3:$W$20,20*P$8+2,0),COUNTA($B$9:$B23)))</f>
        <v>5</v>
      </c>
      <c r="Q23" s="68">
        <f ca="1">IF(COUNTA(OFFSET(BUNDESLIGA!$G$1:$H$1,11*(Q$8-1)+2,0,9))=0,"",INDEX(OFFSET(BUNDESLIGA!$W$3:$W$20,20*Q$8+2,0),COUNTA($B$9:$B23)))</f>
        <v>6</v>
      </c>
      <c r="R23" s="68">
        <f ca="1">IF(COUNTA(OFFSET(BUNDESLIGA!$G$1:$H$1,11*(R$8-1)+2,0,9))=0,"",INDEX(OFFSET(BUNDESLIGA!$W$3:$W$20,20*R$8+2,0),COUNTA($B$9:$B23)))</f>
        <v>6</v>
      </c>
      <c r="S23" s="68">
        <f ca="1">IF(COUNTA(OFFSET(BUNDESLIGA!$G$1:$H$1,11*(S$8-1)+2,0,9))=0,"",INDEX(OFFSET(BUNDESLIGA!$W$3:$W$20,20*S$8+2,0),COUNTA($B$9:$B23)))</f>
        <v>8</v>
      </c>
      <c r="T23" s="68">
        <f ca="1">IF(COUNTA(OFFSET(BUNDESLIGA!$G$1:$H$1,11*(T$8-1)+2,0,9))=0,"",INDEX(OFFSET(BUNDESLIGA!$W$3:$W$20,20*T$8+2,0),COUNTA($B$9:$B23)))</f>
        <v>7</v>
      </c>
      <c r="U23" s="68">
        <f ca="1">IF(COUNTA(OFFSET(BUNDESLIGA!$G$1:$H$1,11*(U$8-1)+2,0,9))=0,"",INDEX(OFFSET(BUNDESLIGA!$W$3:$W$20,20*U$8+2,0),COUNTA($B$9:$B23)))</f>
        <v>8</v>
      </c>
      <c r="V23" s="68">
        <f ca="1">IF(COUNTA(OFFSET(BUNDESLIGA!$G$1:$H$1,11*(V$8-1)+2,0,9))=0,"",INDEX(OFFSET(BUNDESLIGA!$W$3:$W$20,20*V$8+2,0),COUNTA($B$9:$B23)))</f>
        <v>8</v>
      </c>
      <c r="W23" s="68">
        <f ca="1">IF(COUNTA(OFFSET(BUNDESLIGA!$G$1:$H$1,11*(W$8-1)+2,0,9))=0,"",INDEX(OFFSET(BUNDESLIGA!$W$3:$W$20,20*W$8+2,0),COUNTA($B$9:$B23)))</f>
        <v>8</v>
      </c>
      <c r="X23" s="68">
        <f ca="1">IF(COUNTA(OFFSET(BUNDESLIGA!$G$1:$H$1,11*(X$8-1)+2,0,9))=0,"",INDEX(OFFSET(BUNDESLIGA!$W$3:$W$20,20*X$8+2,0),COUNTA($B$9:$B23)))</f>
        <v>7</v>
      </c>
      <c r="Y23" s="68">
        <f ca="1">IF(COUNTA(OFFSET(BUNDESLIGA!$G$1:$H$1,11*(Y$8-1)+2,0,9))=0,"",INDEX(OFFSET(BUNDESLIGA!$W$3:$W$20,20*Y$8+2,0),COUNTA($B$9:$B23)))</f>
        <v>9</v>
      </c>
      <c r="Z23" s="68">
        <f ca="1">IF(COUNTA(OFFSET(BUNDESLIGA!$G$1:$H$1,11*(Z$8-1)+2,0,9))=0,"",INDEX(OFFSET(BUNDESLIGA!$W$3:$W$20,20*Z$8+2,0),COUNTA($B$9:$B23)))</f>
        <v>9</v>
      </c>
      <c r="AA23" s="68" t="str">
        <f ca="1">IF(COUNTA(OFFSET(BUNDESLIGA!$G$1:$H$1,11*(AA$8-1)+2,0,9))=0,"",INDEX(OFFSET(BUNDESLIGA!$W$3:$W$20,20*AA$8+2,0),COUNTA($B$9:$B23)))</f>
        <v/>
      </c>
      <c r="AB23" s="68" t="str">
        <f ca="1">IF(COUNTA(OFFSET(BUNDESLIGA!$G$1:$H$1,11*(AB$8-1)+2,0,9))=0,"",INDEX(OFFSET(BUNDESLIGA!$W$3:$W$20,20*AB$8+2,0),COUNTA($B$9:$B23)))</f>
        <v/>
      </c>
      <c r="AC23" s="68" t="str">
        <f ca="1">IF(COUNTA(OFFSET(BUNDESLIGA!$G$1:$H$1,11*(AC$8-1)+2,0,9))=0,"",INDEX(OFFSET(BUNDESLIGA!$W$3:$W$20,20*AC$8+2,0),COUNTA($B$9:$B23)))</f>
        <v/>
      </c>
      <c r="AD23" s="68" t="str">
        <f ca="1">IF(COUNTA(OFFSET(BUNDESLIGA!$G$1:$H$1,11*(AD$8-1)+2,0,9))=0,"",INDEX(OFFSET(BUNDESLIGA!$W$3:$W$20,20*AD$8+2,0),COUNTA($B$9:$B23)))</f>
        <v/>
      </c>
      <c r="AE23" s="68" t="str">
        <f ca="1">IF(COUNTA(OFFSET(BUNDESLIGA!$G$1:$H$1,11*(AE$8-1)+2,0,9))=0,"",INDEX(OFFSET(BUNDESLIGA!$W$3:$W$20,20*AE$8+2,0),COUNTA($B$9:$B23)))</f>
        <v/>
      </c>
      <c r="AF23" s="68" t="str">
        <f ca="1">IF(COUNTA(OFFSET(BUNDESLIGA!$G$1:$H$1,11*(AF$8-1)+2,0,9))=0,"",INDEX(OFFSET(BUNDESLIGA!$W$3:$W$20,20*AF$8+2,0),COUNTA($B$9:$B23)))</f>
        <v/>
      </c>
      <c r="AG23" s="68" t="str">
        <f ca="1">IF(COUNTA(OFFSET(BUNDESLIGA!$G$1:$H$1,11*(AG$8-1)+2,0,9))=0,"",INDEX(OFFSET(BUNDESLIGA!$W$3:$W$20,20*AG$8+2,0),COUNTA($B$9:$B23)))</f>
        <v/>
      </c>
      <c r="AH23" s="68" t="str">
        <f ca="1">IF(COUNTA(OFFSET(BUNDESLIGA!$G$1:$H$1,11*(AH$8-1)+2,0,9))=0,"",INDEX(OFFSET(BUNDESLIGA!$W$3:$W$20,20*AH$8+2,0),COUNTA($B$9:$B23)))</f>
        <v/>
      </c>
      <c r="AI23" s="68" t="str">
        <f ca="1">IF(COUNTA(OFFSET(BUNDESLIGA!$G$1:$H$1,11*(AI$8-1)+2,0,9))=0,"",INDEX(OFFSET(BUNDESLIGA!$W$3:$W$20,20*AI$8+2,0),COUNTA($B$9:$B23)))</f>
        <v/>
      </c>
      <c r="AJ23" s="68" t="str">
        <f ca="1">IF(COUNTA(OFFSET(BUNDESLIGA!$G$1:$H$1,11*(AJ$8-1)+2,0,9))=0,"",INDEX(OFFSET(BUNDESLIGA!$W$3:$W$20,20*AJ$8+2,0),COUNTA($B$9:$B23)))</f>
        <v/>
      </c>
    </row>
    <row r="24" spans="2:36" x14ac:dyDescent="0.25">
      <c r="B24" s="59" t="str">
        <f>CONCATENATE(EQUIPES!F21)</f>
        <v>SC Paderborn 07</v>
      </c>
      <c r="C24" s="68">
        <f ca="1">IF(COUNTA(OFFSET(BUNDESLIGA!$G$1:$H$1,11*(C$8-1)+2,0,9))=0,"",INDEX(OFFSET(BUNDESLIGA!$W$3:$W$20,20*C$8+2,0),COUNTA($B$9:$B24)))</f>
        <v>12</v>
      </c>
      <c r="D24" s="68">
        <f ca="1">IF(COUNTA(OFFSET(BUNDESLIGA!$G$1:$H$1,11*(D$8-1)+2,0,9))=0,"",INDEX(OFFSET(BUNDESLIGA!$W$3:$W$20,20*D$8+2,0),COUNTA($B$9:$B24)))</f>
        <v>15</v>
      </c>
      <c r="E24" s="68">
        <f ca="1">IF(COUNTA(OFFSET(BUNDESLIGA!$G$1:$H$1,11*(E$8-1)+2,0,9))=0,"",INDEX(OFFSET(BUNDESLIGA!$W$3:$W$20,20*E$8+2,0),COUNTA($B$9:$B24)))</f>
        <v>15</v>
      </c>
      <c r="F24" s="68">
        <f ca="1">IF(COUNTA(OFFSET(BUNDESLIGA!$G$1:$H$1,11*(F$8-1)+2,0,9))=0,"",INDEX(OFFSET(BUNDESLIGA!$W$3:$W$20,20*F$8+2,0),COUNTA($B$9:$B24)))</f>
        <v>17</v>
      </c>
      <c r="G24" s="68">
        <f ca="1">IF(COUNTA(OFFSET(BUNDESLIGA!$G$1:$H$1,11*(G$8-1)+2,0,9))=0,"",INDEX(OFFSET(BUNDESLIGA!$W$3:$W$20,20*G$8+2,0),COUNTA($B$9:$B24)))</f>
        <v>18</v>
      </c>
      <c r="H24" s="68">
        <f ca="1">IF(COUNTA(OFFSET(BUNDESLIGA!$G$1:$H$1,11*(H$8-1)+2,0,9))=0,"",INDEX(OFFSET(BUNDESLIGA!$W$3:$W$20,20*H$8+2,0),COUNTA($B$9:$B24)))</f>
        <v>18</v>
      </c>
      <c r="I24" s="68">
        <f ca="1">IF(COUNTA(OFFSET(BUNDESLIGA!$G$1:$H$1,11*(I$8-1)+2,0,9))=0,"",INDEX(OFFSET(BUNDESLIGA!$W$3:$W$20,20*I$8+2,0),COUNTA($B$9:$B24)))</f>
        <v>18</v>
      </c>
      <c r="J24" s="68">
        <f ca="1">IF(COUNTA(OFFSET(BUNDESLIGA!$G$1:$H$1,11*(J$8-1)+2,0,9))=0,"",INDEX(OFFSET(BUNDESLIGA!$W$3:$W$20,20*J$8+2,0),COUNTA($B$9:$B24)))</f>
        <v>18</v>
      </c>
      <c r="K24" s="68">
        <f ca="1">IF(COUNTA(OFFSET(BUNDESLIGA!$G$1:$H$1,11*(K$8-1)+2,0,9))=0,"",INDEX(OFFSET(BUNDESLIGA!$W$3:$W$20,20*K$8+2,0),COUNTA($B$9:$B24)))</f>
        <v>18</v>
      </c>
      <c r="L24" s="68">
        <f ca="1">IF(COUNTA(OFFSET(BUNDESLIGA!$G$1:$H$1,11*(L$8-1)+2,0,9))=0,"",INDEX(OFFSET(BUNDESLIGA!$W$3:$W$20,20*L$8+2,0),COUNTA($B$9:$B24)))</f>
        <v>18</v>
      </c>
      <c r="M24" s="68">
        <f ca="1">IF(COUNTA(OFFSET(BUNDESLIGA!$G$1:$H$1,11*(M$8-1)+2,0,9))=0,"",INDEX(OFFSET(BUNDESLIGA!$W$3:$W$20,20*M$8+2,0),COUNTA($B$9:$B24)))</f>
        <v>18</v>
      </c>
      <c r="N24" s="68">
        <f ca="1">IF(COUNTA(OFFSET(BUNDESLIGA!$G$1:$H$1,11*(N$8-1)+2,0,9))=0,"",INDEX(OFFSET(BUNDESLIGA!$W$3:$W$20,20*N$8+2,0),COUNTA($B$9:$B24)))</f>
        <v>18</v>
      </c>
      <c r="O24" s="68">
        <f ca="1">IF(COUNTA(OFFSET(BUNDESLIGA!$G$1:$H$1,11*(O$8-1)+2,0,9))=0,"",INDEX(OFFSET(BUNDESLIGA!$W$3:$W$20,20*O$8+2,0),COUNTA($B$9:$B24)))</f>
        <v>18</v>
      </c>
      <c r="P24" s="68">
        <f ca="1">IF(COUNTA(OFFSET(BUNDESLIGA!$G$1:$H$1,11*(P$8-1)+2,0,9))=0,"",INDEX(OFFSET(BUNDESLIGA!$W$3:$W$20,20*P$8+2,0),COUNTA($B$9:$B24)))</f>
        <v>17</v>
      </c>
      <c r="Q24" s="68">
        <f ca="1">IF(COUNTA(OFFSET(BUNDESLIGA!$G$1:$H$1,11*(Q$8-1)+2,0,9))=0,"",INDEX(OFFSET(BUNDESLIGA!$W$3:$W$20,20*Q$8+2,0),COUNTA($B$9:$B24)))</f>
        <v>18</v>
      </c>
      <c r="R24" s="68">
        <f ca="1">IF(COUNTA(OFFSET(BUNDESLIGA!$G$1:$H$1,11*(R$8-1)+2,0,9))=0,"",INDEX(OFFSET(BUNDESLIGA!$W$3:$W$20,20*R$8+2,0),COUNTA($B$9:$B24)))</f>
        <v>18</v>
      </c>
      <c r="S24" s="68">
        <f ca="1">IF(COUNTA(OFFSET(BUNDESLIGA!$G$1:$H$1,11*(S$8-1)+2,0,9))=0,"",INDEX(OFFSET(BUNDESLIGA!$W$3:$W$20,20*S$8+2,0),COUNTA($B$9:$B24)))</f>
        <v>18</v>
      </c>
      <c r="T24" s="68">
        <f ca="1">IF(COUNTA(OFFSET(BUNDESLIGA!$G$1:$H$1,11*(T$8-1)+2,0,9))=0,"",INDEX(OFFSET(BUNDESLIGA!$W$3:$W$20,20*T$8+2,0),COUNTA($B$9:$B24)))</f>
        <v>18</v>
      </c>
      <c r="U24" s="68">
        <f ca="1">IF(COUNTA(OFFSET(BUNDESLIGA!$G$1:$H$1,11*(U$8-1)+2,0,9))=0,"",INDEX(OFFSET(BUNDESLIGA!$W$3:$W$20,20*U$8+2,0),COUNTA($B$9:$B24)))</f>
        <v>17</v>
      </c>
      <c r="V24" s="68">
        <f ca="1">IF(COUNTA(OFFSET(BUNDESLIGA!$G$1:$H$1,11*(V$8-1)+2,0,9))=0,"",INDEX(OFFSET(BUNDESLIGA!$W$3:$W$20,20*V$8+2,0),COUNTA($B$9:$B24)))</f>
        <v>18</v>
      </c>
      <c r="W24" s="68">
        <f ca="1">IF(COUNTA(OFFSET(BUNDESLIGA!$G$1:$H$1,11*(W$8-1)+2,0,9))=0,"",INDEX(OFFSET(BUNDESLIGA!$W$3:$W$20,20*W$8+2,0),COUNTA($B$9:$B24)))</f>
        <v>18</v>
      </c>
      <c r="X24" s="68">
        <f ca="1">IF(COUNTA(OFFSET(BUNDESLIGA!$G$1:$H$1,11*(X$8-1)+2,0,9))=0,"",INDEX(OFFSET(BUNDESLIGA!$W$3:$W$20,20*X$8+2,0),COUNTA($B$9:$B24)))</f>
        <v>18</v>
      </c>
      <c r="Y24" s="68">
        <f ca="1">IF(COUNTA(OFFSET(BUNDESLIGA!$G$1:$H$1,11*(Y$8-1)+2,0,9))=0,"",INDEX(OFFSET(BUNDESLIGA!$W$3:$W$20,20*Y$8+2,0),COUNTA($B$9:$B24)))</f>
        <v>18</v>
      </c>
      <c r="Z24" s="68">
        <f ca="1">IF(COUNTA(OFFSET(BUNDESLIGA!$G$1:$H$1,11*(Z$8-1)+2,0,9))=0,"",INDEX(OFFSET(BUNDESLIGA!$W$3:$W$20,20*Z$8+2,0),COUNTA($B$9:$B24)))</f>
        <v>18</v>
      </c>
      <c r="AA24" s="68" t="str">
        <f ca="1">IF(COUNTA(OFFSET(BUNDESLIGA!$G$1:$H$1,11*(AA$8-1)+2,0,9))=0,"",INDEX(OFFSET(BUNDESLIGA!$W$3:$W$20,20*AA$8+2,0),COUNTA($B$9:$B24)))</f>
        <v/>
      </c>
      <c r="AB24" s="68" t="str">
        <f ca="1">IF(COUNTA(OFFSET(BUNDESLIGA!$G$1:$H$1,11*(AB$8-1)+2,0,9))=0,"",INDEX(OFFSET(BUNDESLIGA!$W$3:$W$20,20*AB$8+2,0),COUNTA($B$9:$B24)))</f>
        <v/>
      </c>
      <c r="AC24" s="68" t="str">
        <f ca="1">IF(COUNTA(OFFSET(BUNDESLIGA!$G$1:$H$1,11*(AC$8-1)+2,0,9))=0,"",INDEX(OFFSET(BUNDESLIGA!$W$3:$W$20,20*AC$8+2,0),COUNTA($B$9:$B24)))</f>
        <v/>
      </c>
      <c r="AD24" s="68" t="str">
        <f ca="1">IF(COUNTA(OFFSET(BUNDESLIGA!$G$1:$H$1,11*(AD$8-1)+2,0,9))=0,"",INDEX(OFFSET(BUNDESLIGA!$W$3:$W$20,20*AD$8+2,0),COUNTA($B$9:$B24)))</f>
        <v/>
      </c>
      <c r="AE24" s="68" t="str">
        <f ca="1">IF(COUNTA(OFFSET(BUNDESLIGA!$G$1:$H$1,11*(AE$8-1)+2,0,9))=0,"",INDEX(OFFSET(BUNDESLIGA!$W$3:$W$20,20*AE$8+2,0),COUNTA($B$9:$B24)))</f>
        <v/>
      </c>
      <c r="AF24" s="68" t="str">
        <f ca="1">IF(COUNTA(OFFSET(BUNDESLIGA!$G$1:$H$1,11*(AF$8-1)+2,0,9))=0,"",INDEX(OFFSET(BUNDESLIGA!$W$3:$W$20,20*AF$8+2,0),COUNTA($B$9:$B24)))</f>
        <v/>
      </c>
      <c r="AG24" s="68" t="str">
        <f ca="1">IF(COUNTA(OFFSET(BUNDESLIGA!$G$1:$H$1,11*(AG$8-1)+2,0,9))=0,"",INDEX(OFFSET(BUNDESLIGA!$W$3:$W$20,20*AG$8+2,0),COUNTA($B$9:$B24)))</f>
        <v/>
      </c>
      <c r="AH24" s="68" t="str">
        <f ca="1">IF(COUNTA(OFFSET(BUNDESLIGA!$G$1:$H$1,11*(AH$8-1)+2,0,9))=0,"",INDEX(OFFSET(BUNDESLIGA!$W$3:$W$20,20*AH$8+2,0),COUNTA($B$9:$B24)))</f>
        <v/>
      </c>
      <c r="AI24" s="68" t="str">
        <f ca="1">IF(COUNTA(OFFSET(BUNDESLIGA!$G$1:$H$1,11*(AI$8-1)+2,0,9))=0,"",INDEX(OFFSET(BUNDESLIGA!$W$3:$W$20,20*AI$8+2,0),COUNTA($B$9:$B24)))</f>
        <v/>
      </c>
      <c r="AJ24" s="68" t="str">
        <f ca="1">IF(COUNTA(OFFSET(BUNDESLIGA!$G$1:$H$1,11*(AJ$8-1)+2,0,9))=0,"",INDEX(OFFSET(BUNDESLIGA!$W$3:$W$20,20*AJ$8+2,0),COUNTA($B$9:$B24)))</f>
        <v/>
      </c>
    </row>
    <row r="25" spans="2:36" x14ac:dyDescent="0.25">
      <c r="B25" s="59" t="str">
        <f>CONCATENATE(EQUIPES!F22)</f>
        <v>VfL Wolfsburg</v>
      </c>
      <c r="C25" s="68">
        <f ca="1">IF(COUNTA(OFFSET(BUNDESLIGA!$G$1:$H$1,11*(C$8-1)+2,0,9))=0,"",INDEX(OFFSET(BUNDESLIGA!$W$3:$W$20,20*C$8+2,0),COUNTA($B$9:$B25)))</f>
        <v>6</v>
      </c>
      <c r="D25" s="68">
        <f ca="1">IF(COUNTA(OFFSET(BUNDESLIGA!$G$1:$H$1,11*(D$8-1)+2,0,9))=0,"",INDEX(OFFSET(BUNDESLIGA!$W$3:$W$20,20*D$8+2,0),COUNTA($B$9:$B25)))</f>
        <v>4</v>
      </c>
      <c r="E25" s="68">
        <f ca="1">IF(COUNTA(OFFSET(BUNDESLIGA!$G$1:$H$1,11*(E$8-1)+2,0,9))=0,"",INDEX(OFFSET(BUNDESLIGA!$W$3:$W$20,20*E$8+2,0),COUNTA($B$9:$B25)))</f>
        <v>3</v>
      </c>
      <c r="F25" s="68">
        <f ca="1">IF(COUNTA(OFFSET(BUNDESLIGA!$G$1:$H$1,11*(F$8-1)+2,0,9))=0,"",INDEX(OFFSET(BUNDESLIGA!$W$3:$W$20,20*F$8+2,0),COUNTA($B$9:$B25)))</f>
        <v>5</v>
      </c>
      <c r="G25" s="68">
        <f ca="1">IF(COUNTA(OFFSET(BUNDESLIGA!$G$1:$H$1,11*(G$8-1)+2,0,9))=0,"",INDEX(OFFSET(BUNDESLIGA!$W$3:$W$20,20*G$8+2,0),COUNTA($B$9:$B25)))</f>
        <v>8</v>
      </c>
      <c r="H25" s="68">
        <f ca="1">IF(COUNTA(OFFSET(BUNDESLIGA!$G$1:$H$1,11*(H$8-1)+2,0,9))=0,"",INDEX(OFFSET(BUNDESLIGA!$W$3:$W$20,20*H$8+2,0),COUNTA($B$9:$B25)))</f>
        <v>7</v>
      </c>
      <c r="I25" s="68">
        <f ca="1">IF(COUNTA(OFFSET(BUNDESLIGA!$G$1:$H$1,11*(I$8-1)+2,0,9))=0,"",INDEX(OFFSET(BUNDESLIGA!$W$3:$W$20,20*I$8+2,0),COUNTA($B$9:$B25)))</f>
        <v>2</v>
      </c>
      <c r="J25" s="68">
        <f ca="1">IF(COUNTA(OFFSET(BUNDESLIGA!$G$1:$H$1,11*(J$8-1)+2,0,9))=0,"",INDEX(OFFSET(BUNDESLIGA!$W$3:$W$20,20*J$8+2,0),COUNTA($B$9:$B25)))</f>
        <v>2</v>
      </c>
      <c r="K25" s="68">
        <f ca="1">IF(COUNTA(OFFSET(BUNDESLIGA!$G$1:$H$1,11*(K$8-1)+2,0,9))=0,"",INDEX(OFFSET(BUNDESLIGA!$W$3:$W$20,20*K$8+2,0),COUNTA($B$9:$B25)))</f>
        <v>4</v>
      </c>
      <c r="L25" s="68">
        <f ca="1">IF(COUNTA(OFFSET(BUNDESLIGA!$G$1:$H$1,11*(L$8-1)+2,0,9))=0,"",INDEX(OFFSET(BUNDESLIGA!$W$3:$W$20,20*L$8+2,0),COUNTA($B$9:$B25)))</f>
        <v>8</v>
      </c>
      <c r="M25" s="68">
        <f ca="1">IF(COUNTA(OFFSET(BUNDESLIGA!$G$1:$H$1,11*(M$8-1)+2,0,9))=0,"",INDEX(OFFSET(BUNDESLIGA!$W$3:$W$20,20*M$8+2,0),COUNTA($B$9:$B25)))</f>
        <v>10</v>
      </c>
      <c r="N25" s="68">
        <f ca="1">IF(COUNTA(OFFSET(BUNDESLIGA!$G$1:$H$1,11*(N$8-1)+2,0,9))=0,"",INDEX(OFFSET(BUNDESLIGA!$W$3:$W$20,20*N$8+2,0),COUNTA($B$9:$B25)))</f>
        <v>7</v>
      </c>
      <c r="O25" s="68">
        <f ca="1">IF(COUNTA(OFFSET(BUNDESLIGA!$G$1:$H$1,11*(O$8-1)+2,0,9))=0,"",INDEX(OFFSET(BUNDESLIGA!$W$3:$W$20,20*O$8+2,0),COUNTA($B$9:$B25)))</f>
        <v>9</v>
      </c>
      <c r="P25" s="68">
        <f ca="1">IF(COUNTA(OFFSET(BUNDESLIGA!$G$1:$H$1,11*(P$8-1)+2,0,9))=0,"",INDEX(OFFSET(BUNDESLIGA!$W$3:$W$20,20*P$8+2,0),COUNTA($B$9:$B25)))</f>
        <v>9</v>
      </c>
      <c r="Q25" s="68">
        <f ca="1">IF(COUNTA(OFFSET(BUNDESLIGA!$G$1:$H$1,11*(Q$8-1)+2,0,9))=0,"",INDEX(OFFSET(BUNDESLIGA!$W$3:$W$20,20*Q$8+2,0),COUNTA($B$9:$B25)))</f>
        <v>8</v>
      </c>
      <c r="R25" s="68">
        <f ca="1">IF(COUNTA(OFFSET(BUNDESLIGA!$G$1:$H$1,11*(R$8-1)+2,0,9))=0,"",INDEX(OFFSET(BUNDESLIGA!$W$3:$W$20,20*R$8+2,0),COUNTA($B$9:$B25)))</f>
        <v>8</v>
      </c>
      <c r="S25" s="68">
        <f ca="1">IF(COUNTA(OFFSET(BUNDESLIGA!$G$1:$H$1,11*(S$8-1)+2,0,9))=0,"",INDEX(OFFSET(BUNDESLIGA!$W$3:$W$20,20*S$8+2,0),COUNTA($B$9:$B25)))</f>
        <v>9</v>
      </c>
      <c r="T25" s="68">
        <f ca="1">IF(COUNTA(OFFSET(BUNDESLIGA!$G$1:$H$1,11*(T$8-1)+2,0,9))=0,"",INDEX(OFFSET(BUNDESLIGA!$W$3:$W$20,20*T$8+2,0),COUNTA($B$9:$B25)))</f>
        <v>9</v>
      </c>
      <c r="U25" s="68">
        <f ca="1">IF(COUNTA(OFFSET(BUNDESLIGA!$G$1:$H$1,11*(U$8-1)+2,0,9))=0,"",INDEX(OFFSET(BUNDESLIGA!$W$3:$W$20,20*U$8+2,0),COUNTA($B$9:$B25)))</f>
        <v>10</v>
      </c>
      <c r="V25" s="68">
        <f ca="1">IF(COUNTA(OFFSET(BUNDESLIGA!$G$1:$H$1,11*(V$8-1)+2,0,9))=0,"",INDEX(OFFSET(BUNDESLIGA!$W$3:$W$20,20*V$8+2,0),COUNTA($B$9:$B25)))</f>
        <v>9</v>
      </c>
      <c r="W25" s="68">
        <f ca="1">IF(COUNTA(OFFSET(BUNDESLIGA!$G$1:$H$1,11*(W$8-1)+2,0,9))=0,"",INDEX(OFFSET(BUNDESLIGA!$W$3:$W$20,20*W$8+2,0),COUNTA($B$9:$B25)))</f>
        <v>10</v>
      </c>
      <c r="X25" s="68">
        <f ca="1">IF(COUNTA(OFFSET(BUNDESLIGA!$G$1:$H$1,11*(X$8-1)+2,0,9))=0,"",INDEX(OFFSET(BUNDESLIGA!$W$3:$W$20,20*X$8+2,0),COUNTA($B$9:$B25)))</f>
        <v>9</v>
      </c>
      <c r="Y25" s="68">
        <f ca="1">IF(COUNTA(OFFSET(BUNDESLIGA!$G$1:$H$1,11*(Y$8-1)+2,0,9))=0,"",INDEX(OFFSET(BUNDESLIGA!$W$3:$W$20,20*Y$8+2,0),COUNTA($B$9:$B25)))</f>
        <v>7</v>
      </c>
      <c r="Z25" s="68">
        <f ca="1">IF(COUNTA(OFFSET(BUNDESLIGA!$G$1:$H$1,11*(Z$8-1)+2,0,9))=0,"",INDEX(OFFSET(BUNDESLIGA!$W$3:$W$20,20*Z$8+2,0),COUNTA($B$9:$B25)))</f>
        <v>7</v>
      </c>
      <c r="AA25" s="68" t="str">
        <f ca="1">IF(COUNTA(OFFSET(BUNDESLIGA!$G$1:$H$1,11*(AA$8-1)+2,0,9))=0,"",INDEX(OFFSET(BUNDESLIGA!$W$3:$W$20,20*AA$8+2,0),COUNTA($B$9:$B25)))</f>
        <v/>
      </c>
      <c r="AB25" s="68" t="str">
        <f ca="1">IF(COUNTA(OFFSET(BUNDESLIGA!$G$1:$H$1,11*(AB$8-1)+2,0,9))=0,"",INDEX(OFFSET(BUNDESLIGA!$W$3:$W$20,20*AB$8+2,0),COUNTA($B$9:$B25)))</f>
        <v/>
      </c>
      <c r="AC25" s="68" t="str">
        <f ca="1">IF(COUNTA(OFFSET(BUNDESLIGA!$G$1:$H$1,11*(AC$8-1)+2,0,9))=0,"",INDEX(OFFSET(BUNDESLIGA!$W$3:$W$20,20*AC$8+2,0),COUNTA($B$9:$B25)))</f>
        <v/>
      </c>
      <c r="AD25" s="68" t="str">
        <f ca="1">IF(COUNTA(OFFSET(BUNDESLIGA!$G$1:$H$1,11*(AD$8-1)+2,0,9))=0,"",INDEX(OFFSET(BUNDESLIGA!$W$3:$W$20,20*AD$8+2,0),COUNTA($B$9:$B25)))</f>
        <v/>
      </c>
      <c r="AE25" s="68" t="str">
        <f ca="1">IF(COUNTA(OFFSET(BUNDESLIGA!$G$1:$H$1,11*(AE$8-1)+2,0,9))=0,"",INDEX(OFFSET(BUNDESLIGA!$W$3:$W$20,20*AE$8+2,0),COUNTA($B$9:$B25)))</f>
        <v/>
      </c>
      <c r="AF25" s="68" t="str">
        <f ca="1">IF(COUNTA(OFFSET(BUNDESLIGA!$G$1:$H$1,11*(AF$8-1)+2,0,9))=0,"",INDEX(OFFSET(BUNDESLIGA!$W$3:$W$20,20*AF$8+2,0),COUNTA($B$9:$B25)))</f>
        <v/>
      </c>
      <c r="AG25" s="68" t="str">
        <f ca="1">IF(COUNTA(OFFSET(BUNDESLIGA!$G$1:$H$1,11*(AG$8-1)+2,0,9))=0,"",INDEX(OFFSET(BUNDESLIGA!$W$3:$W$20,20*AG$8+2,0),COUNTA($B$9:$B25)))</f>
        <v/>
      </c>
      <c r="AH25" s="68" t="str">
        <f ca="1">IF(COUNTA(OFFSET(BUNDESLIGA!$G$1:$H$1,11*(AH$8-1)+2,0,9))=0,"",INDEX(OFFSET(BUNDESLIGA!$W$3:$W$20,20*AH$8+2,0),COUNTA($B$9:$B25)))</f>
        <v/>
      </c>
      <c r="AI25" s="68" t="str">
        <f ca="1">IF(COUNTA(OFFSET(BUNDESLIGA!$G$1:$H$1,11*(AI$8-1)+2,0,9))=0,"",INDEX(OFFSET(BUNDESLIGA!$W$3:$W$20,20*AI$8+2,0),COUNTA($B$9:$B25)))</f>
        <v/>
      </c>
      <c r="AJ25" s="68" t="str">
        <f ca="1">IF(COUNTA(OFFSET(BUNDESLIGA!$G$1:$H$1,11*(AJ$8-1)+2,0,9))=0,"",INDEX(OFFSET(BUNDESLIGA!$W$3:$W$20,20*AJ$8+2,0),COUNTA($B$9:$B25)))</f>
        <v/>
      </c>
    </row>
    <row r="26" spans="2:36" x14ac:dyDescent="0.25">
      <c r="B26" s="59" t="str">
        <f>CONCATENATE(EQUIPES!F23)</f>
        <v>Werder Bremen</v>
      </c>
      <c r="C26" s="68">
        <f ca="1">IF(COUNTA(OFFSET(BUNDESLIGA!$G$1:$H$1,11*(C$8-1)+2,0,9))=0,"",INDEX(OFFSET(BUNDESLIGA!$W$3:$W$20,20*C$8+2,0),COUNTA($B$9:$B26)))</f>
        <v>15</v>
      </c>
      <c r="D26" s="68">
        <f ca="1">IF(COUNTA(OFFSET(BUNDESLIGA!$G$1:$H$1,11*(D$8-1)+2,0,9))=0,"",INDEX(OFFSET(BUNDESLIGA!$W$3:$W$20,20*D$8+2,0),COUNTA($B$9:$B26)))</f>
        <v>16</v>
      </c>
      <c r="E26" s="68">
        <f ca="1">IF(COUNTA(OFFSET(BUNDESLIGA!$G$1:$H$1,11*(E$8-1)+2,0,9))=0,"",INDEX(OFFSET(BUNDESLIGA!$W$3:$W$20,20*E$8+2,0),COUNTA($B$9:$B26)))</f>
        <v>13</v>
      </c>
      <c r="F26" s="68">
        <f ca="1">IF(COUNTA(OFFSET(BUNDESLIGA!$G$1:$H$1,11*(F$8-1)+2,0,9))=0,"",INDEX(OFFSET(BUNDESLIGA!$W$3:$W$20,20*F$8+2,0),COUNTA($B$9:$B26)))</f>
        <v>10</v>
      </c>
      <c r="G26" s="68">
        <f ca="1">IF(COUNTA(OFFSET(BUNDESLIGA!$G$1:$H$1,11*(G$8-1)+2,0,9))=0,"",INDEX(OFFSET(BUNDESLIGA!$W$3:$W$20,20*G$8+2,0),COUNTA($B$9:$B26)))</f>
        <v>10</v>
      </c>
      <c r="H26" s="68">
        <f ca="1">IF(COUNTA(OFFSET(BUNDESLIGA!$G$1:$H$1,11*(H$8-1)+2,0,9))=0,"",INDEX(OFFSET(BUNDESLIGA!$W$3:$W$20,20*H$8+2,0),COUNTA($B$9:$B26)))</f>
        <v>11</v>
      </c>
      <c r="I26" s="68">
        <f ca="1">IF(COUNTA(OFFSET(BUNDESLIGA!$G$1:$H$1,11*(I$8-1)+2,0,9))=0,"",INDEX(OFFSET(BUNDESLIGA!$W$3:$W$20,20*I$8+2,0),COUNTA($B$9:$B26)))</f>
        <v>11</v>
      </c>
      <c r="J26" s="68">
        <f ca="1">IF(COUNTA(OFFSET(BUNDESLIGA!$G$1:$H$1,11*(J$8-1)+2,0,9))=0,"",INDEX(OFFSET(BUNDESLIGA!$W$3:$W$20,20*J$8+2,0),COUNTA($B$9:$B26)))</f>
        <v>12</v>
      </c>
      <c r="K26" s="68">
        <f ca="1">IF(COUNTA(OFFSET(BUNDESLIGA!$G$1:$H$1,11*(K$8-1)+2,0,9))=0,"",INDEX(OFFSET(BUNDESLIGA!$W$3:$W$20,20*K$8+2,0),COUNTA($B$9:$B26)))</f>
        <v>12</v>
      </c>
      <c r="L26" s="68">
        <f ca="1">IF(COUNTA(OFFSET(BUNDESLIGA!$G$1:$H$1,11*(L$8-1)+2,0,9))=0,"",INDEX(OFFSET(BUNDESLIGA!$W$3:$W$20,20*L$8+2,0),COUNTA($B$9:$B26)))</f>
        <v>12</v>
      </c>
      <c r="M26" s="68">
        <f ca="1">IF(COUNTA(OFFSET(BUNDESLIGA!$G$1:$H$1,11*(M$8-1)+2,0,9))=0,"",INDEX(OFFSET(BUNDESLIGA!$W$3:$W$20,20*M$8+2,0),COUNTA($B$9:$B26)))</f>
        <v>14</v>
      </c>
      <c r="N26" s="68">
        <f ca="1">IF(COUNTA(OFFSET(BUNDESLIGA!$G$1:$H$1,11*(N$8-1)+2,0,9))=0,"",INDEX(OFFSET(BUNDESLIGA!$W$3:$W$20,20*N$8+2,0),COUNTA($B$9:$B26)))</f>
        <v>14</v>
      </c>
      <c r="O26" s="68">
        <f ca="1">IF(COUNTA(OFFSET(BUNDESLIGA!$G$1:$H$1,11*(O$8-1)+2,0,9))=0,"",INDEX(OFFSET(BUNDESLIGA!$W$3:$W$20,20*O$8+2,0),COUNTA($B$9:$B26)))</f>
        <v>13</v>
      </c>
      <c r="P26" s="68">
        <f ca="1">IF(COUNTA(OFFSET(BUNDESLIGA!$G$1:$H$1,11*(P$8-1)+2,0,9))=0,"",INDEX(OFFSET(BUNDESLIGA!$W$3:$W$20,20*P$8+2,0),COUNTA($B$9:$B26)))</f>
        <v>14</v>
      </c>
      <c r="Q26" s="68">
        <f ca="1">IF(COUNTA(OFFSET(BUNDESLIGA!$G$1:$H$1,11*(Q$8-1)+2,0,9))=0,"",INDEX(OFFSET(BUNDESLIGA!$W$3:$W$20,20*Q$8+2,0),COUNTA($B$9:$B26)))</f>
        <v>15</v>
      </c>
      <c r="R26" s="68">
        <f ca="1">IF(COUNTA(OFFSET(BUNDESLIGA!$G$1:$H$1,11*(R$8-1)+2,0,9))=0,"",INDEX(OFFSET(BUNDESLIGA!$W$3:$W$20,20*R$8+2,0),COUNTA($B$9:$B26)))</f>
        <v>16</v>
      </c>
      <c r="S26" s="68">
        <f ca="1">IF(COUNTA(OFFSET(BUNDESLIGA!$G$1:$H$1,11*(S$8-1)+2,0,9))=0,"",INDEX(OFFSET(BUNDESLIGA!$W$3:$W$20,20*S$8+2,0),COUNTA($B$9:$B26)))</f>
        <v>17</v>
      </c>
      <c r="T26" s="68">
        <f ca="1">IF(COUNTA(OFFSET(BUNDESLIGA!$G$1:$H$1,11*(T$8-1)+2,0,9))=0,"",INDEX(OFFSET(BUNDESLIGA!$W$3:$W$20,20*T$8+2,0),COUNTA($B$9:$B26)))</f>
        <v>16</v>
      </c>
      <c r="U26" s="68">
        <f ca="1">IF(COUNTA(OFFSET(BUNDESLIGA!$G$1:$H$1,11*(U$8-1)+2,0,9))=0,"",INDEX(OFFSET(BUNDESLIGA!$W$3:$W$20,20*U$8+2,0),COUNTA($B$9:$B26)))</f>
        <v>16</v>
      </c>
      <c r="V26" s="68">
        <f ca="1">IF(COUNTA(OFFSET(BUNDESLIGA!$G$1:$H$1,11*(V$8-1)+2,0,9))=0,"",INDEX(OFFSET(BUNDESLIGA!$W$3:$W$20,20*V$8+2,0),COUNTA($B$9:$B26)))</f>
        <v>16</v>
      </c>
      <c r="W26" s="68">
        <f ca="1">IF(COUNTA(OFFSET(BUNDESLIGA!$G$1:$H$1,11*(W$8-1)+2,0,9))=0,"",INDEX(OFFSET(BUNDESLIGA!$W$3:$W$20,20*W$8+2,0),COUNTA($B$9:$B26)))</f>
        <v>17</v>
      </c>
      <c r="X26" s="68">
        <f ca="1">IF(COUNTA(OFFSET(BUNDESLIGA!$G$1:$H$1,11*(X$8-1)+2,0,9))=0,"",INDEX(OFFSET(BUNDESLIGA!$W$3:$W$20,20*X$8+2,0),COUNTA($B$9:$B26)))</f>
        <v>17</v>
      </c>
      <c r="Y26" s="68">
        <f ca="1">IF(COUNTA(OFFSET(BUNDESLIGA!$G$1:$H$1,11*(Y$8-1)+2,0,9))=0,"",INDEX(OFFSET(BUNDESLIGA!$W$3:$W$20,20*Y$8+2,0),COUNTA($B$9:$B26)))</f>
        <v>17</v>
      </c>
      <c r="Z26" s="68">
        <f ca="1">IF(COUNTA(OFFSET(BUNDESLIGA!$G$1:$H$1,11*(Z$8-1)+2,0,9))=0,"",INDEX(OFFSET(BUNDESLIGA!$W$3:$W$20,20*Z$8+2,0),COUNTA($B$9:$B26)))</f>
        <v>17</v>
      </c>
      <c r="AA26" s="68" t="str">
        <f ca="1">IF(COUNTA(OFFSET(BUNDESLIGA!$G$1:$H$1,11*(AA$8-1)+2,0,9))=0,"",INDEX(OFFSET(BUNDESLIGA!$W$3:$W$20,20*AA$8+2,0),COUNTA($B$9:$B26)))</f>
        <v/>
      </c>
      <c r="AB26" s="68" t="str">
        <f ca="1">IF(COUNTA(OFFSET(BUNDESLIGA!$G$1:$H$1,11*(AB$8-1)+2,0,9))=0,"",INDEX(OFFSET(BUNDESLIGA!$W$3:$W$20,20*AB$8+2,0),COUNTA($B$9:$B26)))</f>
        <v/>
      </c>
      <c r="AC26" s="68" t="str">
        <f ca="1">IF(COUNTA(OFFSET(BUNDESLIGA!$G$1:$H$1,11*(AC$8-1)+2,0,9))=0,"",INDEX(OFFSET(BUNDESLIGA!$W$3:$W$20,20*AC$8+2,0),COUNTA($B$9:$B26)))</f>
        <v/>
      </c>
      <c r="AD26" s="68" t="str">
        <f ca="1">IF(COUNTA(OFFSET(BUNDESLIGA!$G$1:$H$1,11*(AD$8-1)+2,0,9))=0,"",INDEX(OFFSET(BUNDESLIGA!$W$3:$W$20,20*AD$8+2,0),COUNTA($B$9:$B26)))</f>
        <v/>
      </c>
      <c r="AE26" s="68" t="str">
        <f ca="1">IF(COUNTA(OFFSET(BUNDESLIGA!$G$1:$H$1,11*(AE$8-1)+2,0,9))=0,"",INDEX(OFFSET(BUNDESLIGA!$W$3:$W$20,20*AE$8+2,0),COUNTA($B$9:$B26)))</f>
        <v/>
      </c>
      <c r="AF26" s="68" t="str">
        <f ca="1">IF(COUNTA(OFFSET(BUNDESLIGA!$G$1:$H$1,11*(AF$8-1)+2,0,9))=0,"",INDEX(OFFSET(BUNDESLIGA!$W$3:$W$20,20*AF$8+2,0),COUNTA($B$9:$B26)))</f>
        <v/>
      </c>
      <c r="AG26" s="68" t="str">
        <f ca="1">IF(COUNTA(OFFSET(BUNDESLIGA!$G$1:$H$1,11*(AG$8-1)+2,0,9))=0,"",INDEX(OFFSET(BUNDESLIGA!$W$3:$W$20,20*AG$8+2,0),COUNTA($B$9:$B26)))</f>
        <v/>
      </c>
      <c r="AH26" s="68" t="str">
        <f ca="1">IF(COUNTA(OFFSET(BUNDESLIGA!$G$1:$H$1,11*(AH$8-1)+2,0,9))=0,"",INDEX(OFFSET(BUNDESLIGA!$W$3:$W$20,20*AH$8+2,0),COUNTA($B$9:$B26)))</f>
        <v/>
      </c>
      <c r="AI26" s="68" t="str">
        <f ca="1">IF(COUNTA(OFFSET(BUNDESLIGA!$G$1:$H$1,11*(AI$8-1)+2,0,9))=0,"",INDEX(OFFSET(BUNDESLIGA!$W$3:$W$20,20*AI$8+2,0),COUNTA($B$9:$B26)))</f>
        <v/>
      </c>
      <c r="AJ26" s="68" t="str">
        <f ca="1">IF(COUNTA(OFFSET(BUNDESLIGA!$G$1:$H$1,11*(AJ$8-1)+2,0,9))=0,"",INDEX(OFFSET(BUNDESLIGA!$W$3:$W$20,20*AJ$8+2,0),COUNTA($B$9:$B26)))</f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588DE7C-259E-43B1-BD3F-917110E33841}">
          <x14:formula1>
            <xm:f>EQUIPES!$F$6:$F$23</xm:f>
          </x14:formula1>
          <xm:sqref>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B2:T117"/>
  <sheetViews>
    <sheetView showGridLines="0" showRowColHeaders="0" zoomScaleNormal="100" workbookViewId="0"/>
  </sheetViews>
  <sheetFormatPr baseColWidth="10" defaultColWidth="11.42578125" defaultRowHeight="15.75" x14ac:dyDescent="0.25"/>
  <cols>
    <col min="1" max="1" width="8.5703125" style="64" customWidth="1"/>
    <col min="2" max="3" width="25" style="64" customWidth="1"/>
    <col min="4" max="5" width="5.7109375" style="60" customWidth="1"/>
    <col min="6" max="6" width="2.85546875" style="64" customWidth="1"/>
    <col min="7" max="8" width="25" style="64" customWidth="1"/>
    <col min="9" max="10" width="5.7109375" style="60" customWidth="1"/>
    <col min="11" max="11" width="2.85546875" style="64" customWidth="1"/>
    <col min="12" max="13" width="25" style="64" customWidth="1"/>
    <col min="14" max="15" width="5.7109375" style="60" customWidth="1"/>
    <col min="16" max="16" width="2.85546875" style="64" customWidth="1"/>
    <col min="17" max="18" width="25" style="64" customWidth="1"/>
    <col min="19" max="20" width="5.7109375" style="60" customWidth="1"/>
    <col min="21" max="16384" width="11.42578125" style="64"/>
  </cols>
  <sheetData>
    <row r="2" spans="2:20" ht="21" x14ac:dyDescent="0.35">
      <c r="B2" s="70"/>
      <c r="C2" s="69"/>
      <c r="D2" s="70"/>
      <c r="E2" s="70"/>
      <c r="H2" s="157" t="s">
        <v>159</v>
      </c>
      <c r="I2" s="157"/>
      <c r="J2" s="157"/>
      <c r="K2" s="157"/>
      <c r="L2" s="157"/>
    </row>
    <row r="3" spans="2:20" ht="15.75" customHeight="1" x14ac:dyDescent="0.35">
      <c r="C3" s="70"/>
      <c r="D3" s="70"/>
      <c r="E3" s="70"/>
    </row>
    <row r="5" spans="2:20" x14ac:dyDescent="0.25">
      <c r="B5" s="158" t="s">
        <v>157</v>
      </c>
      <c r="C5" s="159"/>
      <c r="D5" s="159"/>
      <c r="E5" s="160"/>
      <c r="G5" s="158" t="s">
        <v>158</v>
      </c>
      <c r="H5" s="159"/>
      <c r="I5" s="159"/>
      <c r="J5" s="160"/>
      <c r="L5" s="158" t="s">
        <v>50</v>
      </c>
      <c r="M5" s="159"/>
      <c r="N5" s="159"/>
      <c r="O5" s="160"/>
      <c r="Q5" s="158" t="s">
        <v>55</v>
      </c>
      <c r="R5" s="159"/>
      <c r="S5" s="159"/>
      <c r="T5" s="160"/>
    </row>
    <row r="6" spans="2:20" x14ac:dyDescent="0.25">
      <c r="B6" s="71" t="str">
        <f>BUNDESLIGA!F4&amp;IF(OR(BUNDESLIGA!G4="",BUNDESLIGA!H4=""),"",IF(BUNDESLIGA!G4&gt;BUNDESLIGA!H4,"",IF(BUNDESLIGA!G4&lt;BUNDESLIGA!H4,"","")))</f>
        <v>Bayern München</v>
      </c>
      <c r="C6" s="72" t="str">
        <f>BUNDESLIGA!I4&amp;IF(OR(BUNDESLIGA!G4="",BUNDESLIGA!H4=""),"",IF(BUNDESLIGA!G4&lt;BUNDESLIGA!H4,"",IF(BUNDESLIGA!G4&gt;BUNDESLIGA!H4,"","")))</f>
        <v>Hertha BSC</v>
      </c>
      <c r="D6" s="161" t="str">
        <f>IF(BUNDESLIGA!G4&lt;&gt;"",BUNDESLIGA!G4&amp;" - "&amp;BUNDESLIGA!H4,"")</f>
        <v>2 - 2</v>
      </c>
      <c r="E6" s="162"/>
      <c r="G6" s="71" t="str">
        <f>BUNDESLIGA!F59&amp;IF(OR(BUNDESLIGA!G59="",BUNDESLIGA!H59=""),"",IF(BUNDESLIGA!G59&gt;BUNDESLIGA!H59,"",IF(BUNDESLIGA!G59&lt;BUNDESLIGA!H59,"","")))</f>
        <v>1. FC Union Berlin</v>
      </c>
      <c r="H6" s="72" t="str">
        <f>BUNDESLIGA!I59&amp;IF(OR(BUNDESLIGA!G59="",BUNDESLIGA!H59=""),"",IF(BUNDESLIGA!G59&lt;BUNDESLIGA!H59,"",IF(BUNDESLIGA!G59&gt;BUNDESLIGA!H59,"","")))</f>
        <v>Eintracht Frankfurt</v>
      </c>
      <c r="I6" s="161" t="str">
        <f>IF(BUNDESLIGA!G59&lt;&gt;"",BUNDESLIGA!G59&amp;" - "&amp;BUNDESLIGA!H59,"")</f>
        <v>1 - 2</v>
      </c>
      <c r="J6" s="162"/>
      <c r="L6" s="71" t="str">
        <f>BUNDESLIGA!F114&amp;IF(OR(BUNDESLIGA!G114="",BUNDESLIGA!H114=""),"",IF(BUNDESLIGA!G114&gt;BUNDESLIGA!H114,"",IF(BUNDESLIGA!G114&lt;BUNDESLIGA!H114,"","")))</f>
        <v>Bayern München</v>
      </c>
      <c r="M6" s="72" t="str">
        <f>BUNDESLIGA!I114&amp;IF(OR(BUNDESLIGA!G114="",BUNDESLIGA!H114=""),"",IF(BUNDESLIGA!G114&lt;BUNDESLIGA!H114,"",IF(BUNDESLIGA!G114&gt;BUNDESLIGA!H114,"","")))</f>
        <v>Borussia Dortmund</v>
      </c>
      <c r="N6" s="161" t="str">
        <f>IF(BUNDESLIGA!G114&lt;&gt;"",BUNDESLIGA!G114&amp;" - "&amp;BUNDESLIGA!H114,"")</f>
        <v>4 - 0</v>
      </c>
      <c r="O6" s="162"/>
      <c r="Q6" s="71" t="str">
        <f>BUNDESLIGA!F169&amp;IF(OR(BUNDESLIGA!G169="",BUNDESLIGA!H169=""),"",IF(BUNDESLIGA!G169&gt;BUNDESLIGA!H169,"",IF(BUNDESLIGA!G169&lt;BUNDESLIGA!H169,"","")))</f>
        <v>Borussia Dortmund</v>
      </c>
      <c r="R6" s="72" t="str">
        <f>BUNDESLIGA!I169&amp;IF(OR(BUNDESLIGA!G169="",BUNDESLIGA!H169=""),"",IF(BUNDESLIGA!G169&lt;BUNDESLIGA!H169,"",IF(BUNDESLIGA!G169&gt;BUNDESLIGA!H169,"","")))</f>
        <v>RB Leipzig</v>
      </c>
      <c r="S6" s="161" t="str">
        <f>IF(BUNDESLIGA!G169&lt;&gt;"",BUNDESLIGA!G169&amp;" - "&amp;BUNDESLIGA!H169,"")</f>
        <v>3 - 3</v>
      </c>
      <c r="T6" s="162"/>
    </row>
    <row r="7" spans="2:20" x14ac:dyDescent="0.25">
      <c r="B7" s="71" t="str">
        <f>BUNDESLIGA!F5&amp;IF(OR(BUNDESLIGA!G5="",BUNDESLIGA!H5=""),"",IF(BUNDESLIGA!G5&gt;BUNDESLIGA!H5,"",IF(BUNDESLIGA!G5&lt;BUNDESLIGA!H5,"","")))</f>
        <v>Borussia Dortmund</v>
      </c>
      <c r="C7" s="72" t="str">
        <f>BUNDESLIGA!I5&amp;IF(OR(BUNDESLIGA!G5="",BUNDESLIGA!H5=""),"",IF(BUNDESLIGA!G5&lt;BUNDESLIGA!H5,"",IF(BUNDESLIGA!G5&gt;BUNDESLIGA!H5,"","")))</f>
        <v>FC Augsburg</v>
      </c>
      <c r="D7" s="161" t="str">
        <f>IF(BUNDESLIGA!G5&lt;&gt;"",BUNDESLIGA!G5&amp;" - "&amp;BUNDESLIGA!H5,"")</f>
        <v>5 - 1</v>
      </c>
      <c r="E7" s="162"/>
      <c r="G7" s="71" t="str">
        <f>BUNDESLIGA!F60&amp;IF(OR(BUNDESLIGA!G60="",BUNDESLIGA!H60=""),"",IF(BUNDESLIGA!G60&gt;BUNDESLIGA!H60,"",IF(BUNDESLIGA!G60&lt;BUNDESLIGA!H60,"","")))</f>
        <v>RB Leipzig</v>
      </c>
      <c r="H7" s="72" t="str">
        <f>BUNDESLIGA!I60&amp;IF(OR(BUNDESLIGA!G60="",BUNDESLIGA!H60=""),"",IF(BUNDESLIGA!G60&lt;BUNDESLIGA!H60,"",IF(BUNDESLIGA!G60&gt;BUNDESLIGA!H60,"","")))</f>
        <v>FC Schalke 04</v>
      </c>
      <c r="I7" s="161" t="str">
        <f>IF(BUNDESLIGA!G60&lt;&gt;"",BUNDESLIGA!G60&amp;" - "&amp;BUNDESLIGA!H60,"")</f>
        <v>1 - 3</v>
      </c>
      <c r="J7" s="162"/>
      <c r="L7" s="71" t="str">
        <f>BUNDESLIGA!F115&amp;IF(OR(BUNDESLIGA!G115="",BUNDESLIGA!H115=""),"",IF(BUNDESLIGA!G115&gt;BUNDESLIGA!H115,"",IF(BUNDESLIGA!G115&lt;BUNDESLIGA!H115,"","")))</f>
        <v>Bor. Mönchengladbach</v>
      </c>
      <c r="M7" s="72" t="str">
        <f>BUNDESLIGA!I115&amp;IF(OR(BUNDESLIGA!G115="",BUNDESLIGA!H115=""),"",IF(BUNDESLIGA!G115&lt;BUNDESLIGA!H115,"",IF(BUNDESLIGA!G115&gt;BUNDESLIGA!H115,"","")))</f>
        <v>Werder Bremen</v>
      </c>
      <c r="N7" s="161" t="str">
        <f>IF(BUNDESLIGA!G115&lt;&gt;"",BUNDESLIGA!G115&amp;" - "&amp;BUNDESLIGA!H115,"")</f>
        <v>3 - 1</v>
      </c>
      <c r="O7" s="162"/>
      <c r="Q7" s="71" t="str">
        <f>BUNDESLIGA!F170&amp;IF(OR(BUNDESLIGA!G170="",BUNDESLIGA!H170=""),"",IF(BUNDESLIGA!G170&gt;BUNDESLIGA!H170,"",IF(BUNDESLIGA!G170&lt;BUNDESLIGA!H170,"","")))</f>
        <v>Bayer Leverkusen</v>
      </c>
      <c r="R7" s="72" t="str">
        <f>BUNDESLIGA!I170&amp;IF(OR(BUNDESLIGA!G170="",BUNDESLIGA!H170=""),"",IF(BUNDESLIGA!G170&lt;BUNDESLIGA!H170,"",IF(BUNDESLIGA!G170&gt;BUNDESLIGA!H170,"","")))</f>
        <v>Hertha BSC</v>
      </c>
      <c r="S7" s="161" t="str">
        <f>IF(BUNDESLIGA!G170&lt;&gt;"",BUNDESLIGA!G170&amp;" - "&amp;BUNDESLIGA!H170,"")</f>
        <v>0 - 1</v>
      </c>
      <c r="T7" s="162"/>
    </row>
    <row r="8" spans="2:20" x14ac:dyDescent="0.25">
      <c r="B8" s="71" t="str">
        <f>BUNDESLIGA!F6&amp;IF(OR(BUNDESLIGA!G6="",BUNDESLIGA!H6=""),"",IF(BUNDESLIGA!G6&gt;BUNDESLIGA!H6,"",IF(BUNDESLIGA!G6&lt;BUNDESLIGA!H6,"","")))</f>
        <v>Bayer Leverkusen</v>
      </c>
      <c r="C8" s="72" t="str">
        <f>BUNDESLIGA!I6&amp;IF(OR(BUNDESLIGA!G6="",BUNDESLIGA!H6=""),"",IF(BUNDESLIGA!G6&lt;BUNDESLIGA!H6,"",IF(BUNDESLIGA!G6&gt;BUNDESLIGA!H6,"","")))</f>
        <v>SC Paderborn 07</v>
      </c>
      <c r="D8" s="161" t="str">
        <f>IF(BUNDESLIGA!G6&lt;&gt;"",BUNDESLIGA!G6&amp;" - "&amp;BUNDESLIGA!H6,"")</f>
        <v>3 - 2</v>
      </c>
      <c r="E8" s="162"/>
      <c r="G8" s="71" t="str">
        <f>BUNDESLIGA!F61&amp;IF(OR(BUNDESLIGA!G61="",BUNDESLIGA!H61=""),"",IF(BUNDESLIGA!G61&gt;BUNDESLIGA!H61,"",IF(BUNDESLIGA!G61&lt;BUNDESLIGA!H61,"","")))</f>
        <v>1899 Hoffenheim</v>
      </c>
      <c r="H8" s="72" t="str">
        <f>BUNDESLIGA!I61&amp;IF(OR(BUNDESLIGA!G61="",BUNDESLIGA!H61=""),"",IF(BUNDESLIGA!G61&lt;BUNDESLIGA!H61,"",IF(BUNDESLIGA!G61&gt;BUNDESLIGA!H61,"","")))</f>
        <v>Bor. Mönchengladbach</v>
      </c>
      <c r="I8" s="161" t="str">
        <f>IF(BUNDESLIGA!G61&lt;&gt;"",BUNDESLIGA!G61&amp;" - "&amp;BUNDESLIGA!H61,"")</f>
        <v>0 - 3</v>
      </c>
      <c r="J8" s="162"/>
      <c r="L8" s="71" t="str">
        <f>BUNDESLIGA!F116&amp;IF(OR(BUNDESLIGA!G116="",BUNDESLIGA!H116=""),"",IF(BUNDESLIGA!G116&gt;BUNDESLIGA!H116,"",IF(BUNDESLIGA!G116&lt;BUNDESLIGA!H116,"","")))</f>
        <v>VfL Wolfsburg</v>
      </c>
      <c r="M8" s="72" t="str">
        <f>BUNDESLIGA!I116&amp;IF(OR(BUNDESLIGA!G116="",BUNDESLIGA!H116=""),"",IF(BUNDESLIGA!G116&lt;BUNDESLIGA!H116,"",IF(BUNDESLIGA!G116&gt;BUNDESLIGA!H116,"","")))</f>
        <v>Bayer Leverkusen</v>
      </c>
      <c r="N8" s="161" t="str">
        <f>IF(BUNDESLIGA!G116&lt;&gt;"",BUNDESLIGA!G116&amp;" - "&amp;BUNDESLIGA!H116,"")</f>
        <v>0 - 2</v>
      </c>
      <c r="O8" s="162"/>
      <c r="Q8" s="71" t="str">
        <f>BUNDESLIGA!F171&amp;IF(OR(BUNDESLIGA!G171="",BUNDESLIGA!H171=""),"",IF(BUNDESLIGA!G171&gt;BUNDESLIGA!H171,"",IF(BUNDESLIGA!G171&lt;BUNDESLIGA!H171,"","")))</f>
        <v>Bor. Mönchengladbach</v>
      </c>
      <c r="R8" s="72" t="str">
        <f>BUNDESLIGA!I171&amp;IF(OR(BUNDESLIGA!G171="",BUNDESLIGA!H171=""),"",IF(BUNDESLIGA!G171&lt;BUNDESLIGA!H171,"",IF(BUNDESLIGA!G171&gt;BUNDESLIGA!H171,"","")))</f>
        <v>SC Paderborn 07</v>
      </c>
      <c r="S8" s="161" t="str">
        <f>IF(BUNDESLIGA!G171&lt;&gt;"",BUNDESLIGA!G171&amp;" - "&amp;BUNDESLIGA!H171,"")</f>
        <v>2 - 0</v>
      </c>
      <c r="T8" s="162"/>
    </row>
    <row r="9" spans="2:20" x14ac:dyDescent="0.25">
      <c r="B9" s="71" t="str">
        <f>BUNDESLIGA!F7&amp;IF(OR(BUNDESLIGA!G7="",BUNDESLIGA!H7=""),"",IF(BUNDESLIGA!G7&gt;BUNDESLIGA!H7,"",IF(BUNDESLIGA!G7&lt;BUNDESLIGA!H7,"","")))</f>
        <v>VfL Wolfsburg</v>
      </c>
      <c r="C9" s="72" t="str">
        <f>BUNDESLIGA!I7&amp;IF(OR(BUNDESLIGA!G7="",BUNDESLIGA!H7=""),"",IF(BUNDESLIGA!G7&lt;BUNDESLIGA!H7,"",IF(BUNDESLIGA!G7&gt;BUNDESLIGA!H7,"","")))</f>
        <v>1. FC Köln</v>
      </c>
      <c r="D9" s="161" t="str">
        <f>IF(BUNDESLIGA!G7&lt;&gt;"",BUNDESLIGA!G7&amp;" - "&amp;BUNDESLIGA!H7,"")</f>
        <v>2 - 1</v>
      </c>
      <c r="E9" s="162"/>
      <c r="G9" s="71" t="str">
        <f>BUNDESLIGA!F62&amp;IF(OR(BUNDESLIGA!G62="",BUNDESLIGA!H62=""),"",IF(BUNDESLIGA!G62&gt;BUNDESLIGA!H62,"",IF(BUNDESLIGA!G62&lt;BUNDESLIGA!H62,"","")))</f>
        <v>1. FSV Mainz 05</v>
      </c>
      <c r="H9" s="72" t="str">
        <f>BUNDESLIGA!I62&amp;IF(OR(BUNDESLIGA!G62="",BUNDESLIGA!H62=""),"",IF(BUNDESLIGA!G62&lt;BUNDESLIGA!H62,"",IF(BUNDESLIGA!G62&gt;BUNDESLIGA!H62,"","")))</f>
        <v>VfL Wolfsburg</v>
      </c>
      <c r="I9" s="161" t="str">
        <f>IF(BUNDESLIGA!G62&lt;&gt;"",BUNDESLIGA!G62&amp;" - "&amp;BUNDESLIGA!H62,"")</f>
        <v>0 - 1</v>
      </c>
      <c r="J9" s="162"/>
      <c r="L9" s="71" t="str">
        <f>BUNDESLIGA!F117&amp;IF(OR(BUNDESLIGA!G117="",BUNDESLIGA!H117=""),"",IF(BUNDESLIGA!G117&gt;BUNDESLIGA!H117,"",IF(BUNDESLIGA!G117&lt;BUNDESLIGA!H117,"","")))</f>
        <v>Hertha BSC</v>
      </c>
      <c r="M9" s="72" t="str">
        <f>BUNDESLIGA!I117&amp;IF(OR(BUNDESLIGA!G117="",BUNDESLIGA!H117=""),"",IF(BUNDESLIGA!G117&lt;BUNDESLIGA!H117,"",IF(BUNDESLIGA!G117&gt;BUNDESLIGA!H117,"","")))</f>
        <v>RB Leipzig</v>
      </c>
      <c r="N9" s="161" t="str">
        <f>IF(BUNDESLIGA!G117&lt;&gt;"",BUNDESLIGA!G117&amp;" - "&amp;BUNDESLIGA!H117,"")</f>
        <v>2 - 4</v>
      </c>
      <c r="O9" s="162"/>
      <c r="Q9" s="71" t="str">
        <f>BUNDESLIGA!F172&amp;IF(OR(BUNDESLIGA!G172="",BUNDESLIGA!H172=""),"",IF(BUNDESLIGA!G172&gt;BUNDESLIGA!H172,"",IF(BUNDESLIGA!G172&lt;BUNDESLIGA!H172,"","")))</f>
        <v>VfL Wolfsburg</v>
      </c>
      <c r="R9" s="72" t="str">
        <f>BUNDESLIGA!I172&amp;IF(OR(BUNDESLIGA!G172="",BUNDESLIGA!H172=""),"",IF(BUNDESLIGA!G172&lt;BUNDESLIGA!H172,"",IF(BUNDESLIGA!G172&gt;BUNDESLIGA!H172,"","")))</f>
        <v>FC Schalke 04</v>
      </c>
      <c r="S9" s="161" t="str">
        <f>IF(BUNDESLIGA!G172&lt;&gt;"",BUNDESLIGA!G172&amp;" - "&amp;BUNDESLIGA!H172,"")</f>
        <v>1 - 1</v>
      </c>
      <c r="T9" s="162"/>
    </row>
    <row r="10" spans="2:20" x14ac:dyDescent="0.25">
      <c r="B10" s="71" t="str">
        <f>BUNDESLIGA!F8&amp;IF(OR(BUNDESLIGA!G8="",BUNDESLIGA!H8=""),"",IF(BUNDESLIGA!G8&gt;BUNDESLIGA!H8,"",IF(BUNDESLIGA!G8&lt;BUNDESLIGA!H8,"","")))</f>
        <v>Werder Bremen</v>
      </c>
      <c r="C10" s="72" t="str">
        <f>BUNDESLIGA!I8&amp;IF(OR(BUNDESLIGA!G8="",BUNDESLIGA!H8=""),"",IF(BUNDESLIGA!G8&lt;BUNDESLIGA!H8,"",IF(BUNDESLIGA!G8&gt;BUNDESLIGA!H8,"","")))</f>
        <v>Fortuna Düsseldorf</v>
      </c>
      <c r="D10" s="161" t="str">
        <f>IF(BUNDESLIGA!G8&lt;&gt;"",BUNDESLIGA!G8&amp;" - "&amp;BUNDESLIGA!H8,"")</f>
        <v>1 - 3</v>
      </c>
      <c r="E10" s="162"/>
      <c r="G10" s="71" t="str">
        <f>BUNDESLIGA!F63&amp;IF(OR(BUNDESLIGA!G63="",BUNDESLIGA!H63=""),"",IF(BUNDESLIGA!G63&gt;BUNDESLIGA!H63,"",IF(BUNDESLIGA!G63&lt;BUNDESLIGA!H63,"","")))</f>
        <v>FC Augsburg</v>
      </c>
      <c r="H10" s="72" t="str">
        <f>BUNDESLIGA!I63&amp;IF(OR(BUNDESLIGA!G63="",BUNDESLIGA!H63=""),"",IF(BUNDESLIGA!G63&lt;BUNDESLIGA!H63,"",IF(BUNDESLIGA!G63&gt;BUNDESLIGA!H63,"","")))</f>
        <v>Bayer Leverkusen</v>
      </c>
      <c r="I10" s="161" t="str">
        <f>IF(BUNDESLIGA!G63&lt;&gt;"",BUNDESLIGA!G63&amp;" - "&amp;BUNDESLIGA!H63,"")</f>
        <v>0 - 3</v>
      </c>
      <c r="J10" s="162"/>
      <c r="L10" s="71" t="str">
        <f>BUNDESLIGA!F118&amp;IF(OR(BUNDESLIGA!G118="",BUNDESLIGA!H118=""),"",IF(BUNDESLIGA!G118&gt;BUNDESLIGA!H118,"",IF(BUNDESLIGA!G118&lt;BUNDESLIGA!H118,"","")))</f>
        <v>1. FSV Mainz 05</v>
      </c>
      <c r="M10" s="72" t="str">
        <f>BUNDESLIGA!I118&amp;IF(OR(BUNDESLIGA!G118="",BUNDESLIGA!H118=""),"",IF(BUNDESLIGA!G118&lt;BUNDESLIGA!H118,"",IF(BUNDESLIGA!G118&gt;BUNDESLIGA!H118,"","")))</f>
        <v>1. FC Union Berlin</v>
      </c>
      <c r="N10" s="161" t="str">
        <f>IF(BUNDESLIGA!G118&lt;&gt;"",BUNDESLIGA!G118&amp;" - "&amp;BUNDESLIGA!H118,"")</f>
        <v>2 - 3</v>
      </c>
      <c r="O10" s="162"/>
      <c r="Q10" s="71" t="str">
        <f>BUNDESLIGA!F173&amp;IF(OR(BUNDESLIGA!G173="",BUNDESLIGA!H173=""),"",IF(BUNDESLIGA!G173&gt;BUNDESLIGA!H173,"",IF(BUNDESLIGA!G173&lt;BUNDESLIGA!H173,"","")))</f>
        <v>Eintracht Frankfurt</v>
      </c>
      <c r="R10" s="72" t="str">
        <f>BUNDESLIGA!I173&amp;IF(OR(BUNDESLIGA!G173="",BUNDESLIGA!H173=""),"",IF(BUNDESLIGA!G173&lt;BUNDESLIGA!H173,"",IF(BUNDESLIGA!G173&gt;BUNDESLIGA!H173,"","")))</f>
        <v>1. FC Köln</v>
      </c>
      <c r="S10" s="161" t="str">
        <f>IF(BUNDESLIGA!G173&lt;&gt;"",BUNDESLIGA!G173&amp;" - "&amp;BUNDESLIGA!H173,"")</f>
        <v>2 - 4</v>
      </c>
      <c r="T10" s="162"/>
    </row>
    <row r="11" spans="2:20" x14ac:dyDescent="0.25">
      <c r="B11" s="71" t="str">
        <f>BUNDESLIGA!F9&amp;IF(OR(BUNDESLIGA!G9="",BUNDESLIGA!H9=""),"",IF(BUNDESLIGA!G9&gt;BUNDESLIGA!H9,"",IF(BUNDESLIGA!G9&lt;BUNDESLIGA!H9,"","")))</f>
        <v>SC Freiburg</v>
      </c>
      <c r="C11" s="72" t="str">
        <f>BUNDESLIGA!I9&amp;IF(OR(BUNDESLIGA!G9="",BUNDESLIGA!H9=""),"",IF(BUNDESLIGA!G9&lt;BUNDESLIGA!H9,"",IF(BUNDESLIGA!G9&gt;BUNDESLIGA!H9,"","")))</f>
        <v>1. FSV Mainz 05</v>
      </c>
      <c r="D11" s="161" t="str">
        <f>IF(BUNDESLIGA!G9&lt;&gt;"",BUNDESLIGA!G9&amp;" - "&amp;BUNDESLIGA!H9,"")</f>
        <v>3 - 0</v>
      </c>
      <c r="E11" s="162"/>
      <c r="G11" s="71" t="str">
        <f>BUNDESLIGA!F64&amp;IF(OR(BUNDESLIGA!G64="",BUNDESLIGA!H64=""),"",IF(BUNDESLIGA!G64&gt;BUNDESLIGA!H64,"",IF(BUNDESLIGA!G64&lt;BUNDESLIGA!H64,"","")))</f>
        <v>SC Paderborn 07</v>
      </c>
      <c r="H11" s="72" t="str">
        <f>BUNDESLIGA!I64&amp;IF(OR(BUNDESLIGA!G64="",BUNDESLIGA!H64=""),"",IF(BUNDESLIGA!G64&lt;BUNDESLIGA!H64,"",IF(BUNDESLIGA!G64&gt;BUNDESLIGA!H64,"","")))</f>
        <v>Bayern München</v>
      </c>
      <c r="I11" s="161" t="str">
        <f>IF(BUNDESLIGA!G64&lt;&gt;"",BUNDESLIGA!G64&amp;" - "&amp;BUNDESLIGA!H64,"")</f>
        <v>2 - 3</v>
      </c>
      <c r="J11" s="162"/>
      <c r="L11" s="71" t="str">
        <f>BUNDESLIGA!F119&amp;IF(OR(BUNDESLIGA!G119="",BUNDESLIGA!H119=""),"",IF(BUNDESLIGA!G119&gt;BUNDESLIGA!H119,"",IF(BUNDESLIGA!G119&lt;BUNDESLIGA!H119,"","")))</f>
        <v>SC Freiburg</v>
      </c>
      <c r="M11" s="72" t="str">
        <f>BUNDESLIGA!I119&amp;IF(OR(BUNDESLIGA!G119="",BUNDESLIGA!H119=""),"",IF(BUNDESLIGA!G119&lt;BUNDESLIGA!H119,"",IF(BUNDESLIGA!G119&gt;BUNDESLIGA!H119,"","")))</f>
        <v>Eintracht Frankfurt</v>
      </c>
      <c r="N11" s="161" t="str">
        <f>IF(BUNDESLIGA!G119&lt;&gt;"",BUNDESLIGA!G119&amp;" - "&amp;BUNDESLIGA!H119,"")</f>
        <v>1 - 0</v>
      </c>
      <c r="O11" s="162"/>
      <c r="Q11" s="71" t="str">
        <f>BUNDESLIGA!F174&amp;IF(OR(BUNDESLIGA!G174="",BUNDESLIGA!H174=""),"",IF(BUNDESLIGA!G174&gt;BUNDESLIGA!H174,"",IF(BUNDESLIGA!G174&lt;BUNDESLIGA!H174,"","")))</f>
        <v>Werder Bremen</v>
      </c>
      <c r="R11" s="72" t="str">
        <f>BUNDESLIGA!I174&amp;IF(OR(BUNDESLIGA!G174="",BUNDESLIGA!H174=""),"",IF(BUNDESLIGA!G174&lt;BUNDESLIGA!H174,"",IF(BUNDESLIGA!G174&gt;BUNDESLIGA!H174,"","")))</f>
        <v>1. FSV Mainz 05</v>
      </c>
      <c r="S11" s="161" t="str">
        <f>IF(BUNDESLIGA!G174&lt;&gt;"",BUNDESLIGA!G174&amp;" - "&amp;BUNDESLIGA!H174,"")</f>
        <v>0 - 5</v>
      </c>
      <c r="T11" s="162"/>
    </row>
    <row r="12" spans="2:20" x14ac:dyDescent="0.25">
      <c r="B12" s="71" t="str">
        <f>BUNDESLIGA!F10&amp;IF(OR(BUNDESLIGA!G10="",BUNDESLIGA!H10=""),"",IF(BUNDESLIGA!G10&gt;BUNDESLIGA!H10,"",IF(BUNDESLIGA!G10&lt;BUNDESLIGA!H10,"","")))</f>
        <v>Bor. Mönchengladbach</v>
      </c>
      <c r="C12" s="72" t="str">
        <f>BUNDESLIGA!I10&amp;IF(OR(BUNDESLIGA!G10="",BUNDESLIGA!H10=""),"",IF(BUNDESLIGA!G10&lt;BUNDESLIGA!H10,"",IF(BUNDESLIGA!G10&gt;BUNDESLIGA!H10,"","")))</f>
        <v>FC Schalke 04</v>
      </c>
      <c r="D12" s="161" t="str">
        <f>IF(BUNDESLIGA!G10&lt;&gt;"",BUNDESLIGA!G10&amp;" - "&amp;BUNDESLIGA!H10,"")</f>
        <v>0 - 0</v>
      </c>
      <c r="E12" s="162"/>
      <c r="G12" s="71" t="str">
        <f>BUNDESLIGA!F65&amp;IF(OR(BUNDESLIGA!G65="",BUNDESLIGA!H65=""),"",IF(BUNDESLIGA!G65&gt;BUNDESLIGA!H65,"",IF(BUNDESLIGA!G65&lt;BUNDESLIGA!H65,"","")))</f>
        <v>Borussia Dortmund</v>
      </c>
      <c r="H12" s="72" t="str">
        <f>BUNDESLIGA!I65&amp;IF(OR(BUNDESLIGA!G65="",BUNDESLIGA!H65=""),"",IF(BUNDESLIGA!G65&lt;BUNDESLIGA!H65,"",IF(BUNDESLIGA!G65&gt;BUNDESLIGA!H65,"","")))</f>
        <v>Werder Bremen</v>
      </c>
      <c r="I12" s="161" t="str">
        <f>IF(BUNDESLIGA!G65&lt;&gt;"",BUNDESLIGA!G65&amp;" - "&amp;BUNDESLIGA!H65,"")</f>
        <v>2 - 2</v>
      </c>
      <c r="J12" s="162"/>
      <c r="L12" s="71" t="str">
        <f>BUNDESLIGA!F120&amp;IF(OR(BUNDESLIGA!G120="",BUNDESLIGA!H120=""),"",IF(BUNDESLIGA!G120&gt;BUNDESLIGA!H120,"",IF(BUNDESLIGA!G120&lt;BUNDESLIGA!H120,"","")))</f>
        <v>FC Schalke 04</v>
      </c>
      <c r="M12" s="72" t="str">
        <f>BUNDESLIGA!I120&amp;IF(OR(BUNDESLIGA!G120="",BUNDESLIGA!H120=""),"",IF(BUNDESLIGA!G120&lt;BUNDESLIGA!H120,"",IF(BUNDESLIGA!G120&gt;BUNDESLIGA!H120,"","")))</f>
        <v>Fortuna Düsseldorf</v>
      </c>
      <c r="N12" s="161" t="str">
        <f>IF(BUNDESLIGA!G120&lt;&gt;"",BUNDESLIGA!G120&amp;" - "&amp;BUNDESLIGA!H120,"")</f>
        <v>3 - 3</v>
      </c>
      <c r="O12" s="162"/>
      <c r="Q12" s="71" t="str">
        <f>BUNDESLIGA!F175&amp;IF(OR(BUNDESLIGA!G175="",BUNDESLIGA!H175=""),"",IF(BUNDESLIGA!G175&gt;BUNDESLIGA!H175,"",IF(BUNDESLIGA!G175&lt;BUNDESLIGA!H175,"","")))</f>
        <v>SC Freiburg</v>
      </c>
      <c r="R12" s="72" t="str">
        <f>BUNDESLIGA!I175&amp;IF(OR(BUNDESLIGA!G175="",BUNDESLIGA!H175=""),"",IF(BUNDESLIGA!G175&lt;BUNDESLIGA!H175,"",IF(BUNDESLIGA!G175&gt;BUNDESLIGA!H175,"","")))</f>
        <v>Bayern München</v>
      </c>
      <c r="S12" s="161" t="str">
        <f>IF(BUNDESLIGA!G175&lt;&gt;"",BUNDESLIGA!G175&amp;" - "&amp;BUNDESLIGA!H175,"")</f>
        <v>1 - 3</v>
      </c>
      <c r="T12" s="162"/>
    </row>
    <row r="13" spans="2:20" x14ac:dyDescent="0.25">
      <c r="B13" s="71" t="str">
        <f>BUNDESLIGA!F11&amp;IF(OR(BUNDESLIGA!G11="",BUNDESLIGA!H11=""),"",IF(BUNDESLIGA!G11&gt;BUNDESLIGA!H11,"",IF(BUNDESLIGA!G11&lt;BUNDESLIGA!H11,"","")))</f>
        <v>Eintracht Frankfurt</v>
      </c>
      <c r="C13" s="72" t="str">
        <f>BUNDESLIGA!I11&amp;IF(OR(BUNDESLIGA!G11="",BUNDESLIGA!H11=""),"",IF(BUNDESLIGA!G11&lt;BUNDESLIGA!H11,"",IF(BUNDESLIGA!G11&gt;BUNDESLIGA!H11,"","")))</f>
        <v>1899 Hoffenheim</v>
      </c>
      <c r="D13" s="161" t="str">
        <f>IF(BUNDESLIGA!G11&lt;&gt;"",BUNDESLIGA!G11&amp;" - "&amp;BUNDESLIGA!H11,"")</f>
        <v>1 - 0</v>
      </c>
      <c r="E13" s="162"/>
      <c r="G13" s="71" t="str">
        <f>BUNDESLIGA!F66&amp;IF(OR(BUNDESLIGA!G66="",BUNDESLIGA!H66=""),"",IF(BUNDESLIGA!G66&gt;BUNDESLIGA!H66,"",IF(BUNDESLIGA!G66&lt;BUNDESLIGA!H66,"","")))</f>
        <v>Fortuna Düsseldorf</v>
      </c>
      <c r="H13" s="72" t="str">
        <f>BUNDESLIGA!I66&amp;IF(OR(BUNDESLIGA!G66="",BUNDESLIGA!H66=""),"",IF(BUNDESLIGA!G66&lt;BUNDESLIGA!H66,"",IF(BUNDESLIGA!G66&gt;BUNDESLIGA!H66,"","")))</f>
        <v>SC Freiburg</v>
      </c>
      <c r="I13" s="161" t="str">
        <f>IF(BUNDESLIGA!G66&lt;&gt;"",BUNDESLIGA!G66&amp;" - "&amp;BUNDESLIGA!H66,"")</f>
        <v>1 - 2</v>
      </c>
      <c r="J13" s="162"/>
      <c r="L13" s="71" t="str">
        <f>BUNDESLIGA!F121&amp;IF(OR(BUNDESLIGA!G121="",BUNDESLIGA!H121=""),"",IF(BUNDESLIGA!G121&gt;BUNDESLIGA!H121,"",IF(BUNDESLIGA!G121&lt;BUNDESLIGA!H121,"","")))</f>
        <v>1. FC Köln</v>
      </c>
      <c r="M13" s="72" t="str">
        <f>BUNDESLIGA!I121&amp;IF(OR(BUNDESLIGA!G121="",BUNDESLIGA!H121=""),"",IF(BUNDESLIGA!G121&lt;BUNDESLIGA!H121,"",IF(BUNDESLIGA!G121&gt;BUNDESLIGA!H121,"","")))</f>
        <v>1899 Hoffenheim</v>
      </c>
      <c r="N13" s="161" t="str">
        <f>IF(BUNDESLIGA!G121&lt;&gt;"",BUNDESLIGA!G121&amp;" - "&amp;BUNDESLIGA!H121,"")</f>
        <v>1 - 2</v>
      </c>
      <c r="O13" s="162"/>
      <c r="Q13" s="71" t="str">
        <f>BUNDESLIGA!F176&amp;IF(OR(BUNDESLIGA!G176="",BUNDESLIGA!H176=""),"",IF(BUNDESLIGA!G176&gt;BUNDESLIGA!H176,"",IF(BUNDESLIGA!G176&lt;BUNDESLIGA!H176,"","")))</f>
        <v>FC Augsburg</v>
      </c>
      <c r="R13" s="72" t="str">
        <f>BUNDESLIGA!I176&amp;IF(OR(BUNDESLIGA!G176="",BUNDESLIGA!H176=""),"",IF(BUNDESLIGA!G176&lt;BUNDESLIGA!H176,"",IF(BUNDESLIGA!G176&gt;BUNDESLIGA!H176,"","")))</f>
        <v>Fortuna Düsseldorf</v>
      </c>
      <c r="S13" s="161" t="str">
        <f>IF(BUNDESLIGA!G176&lt;&gt;"",BUNDESLIGA!G176&amp;" - "&amp;BUNDESLIGA!H176,"")</f>
        <v>3 - 0</v>
      </c>
      <c r="T13" s="162"/>
    </row>
    <row r="14" spans="2:20" x14ac:dyDescent="0.25">
      <c r="B14" s="71" t="str">
        <f>BUNDESLIGA!F12&amp;IF(OR(BUNDESLIGA!G12="",BUNDESLIGA!H12=""),"",IF(BUNDESLIGA!G12&gt;BUNDESLIGA!H12,"",IF(BUNDESLIGA!G12&lt;BUNDESLIGA!H12,"","")))</f>
        <v>1. FC Union Berlin</v>
      </c>
      <c r="C14" s="72" t="str">
        <f>BUNDESLIGA!I12&amp;IF(OR(BUNDESLIGA!G12="",BUNDESLIGA!H12=""),"",IF(BUNDESLIGA!G12&lt;BUNDESLIGA!H12,"",IF(BUNDESLIGA!G12&gt;BUNDESLIGA!H12,"","")))</f>
        <v>RB Leipzig</v>
      </c>
      <c r="D14" s="161" t="str">
        <f>IF(BUNDESLIGA!G12&lt;&gt;"",BUNDESLIGA!G12&amp;" - "&amp;BUNDESLIGA!H12,"")</f>
        <v>0 - 4</v>
      </c>
      <c r="E14" s="162"/>
      <c r="G14" s="71" t="str">
        <f>BUNDESLIGA!F67&amp;IF(OR(BUNDESLIGA!G67="",BUNDESLIGA!H67=""),"",IF(BUNDESLIGA!G67&gt;BUNDESLIGA!H67,"",IF(BUNDESLIGA!G67&lt;BUNDESLIGA!H67,"","")))</f>
        <v>1. FC Köln</v>
      </c>
      <c r="H14" s="72" t="str">
        <f>BUNDESLIGA!I67&amp;IF(OR(BUNDESLIGA!G67="",BUNDESLIGA!H67=""),"",IF(BUNDESLIGA!G67&lt;BUNDESLIGA!H67,"",IF(BUNDESLIGA!G67&gt;BUNDESLIGA!H67,"","")))</f>
        <v>Hertha BSC</v>
      </c>
      <c r="I14" s="161" t="str">
        <f>IF(BUNDESLIGA!G67&lt;&gt;"",BUNDESLIGA!G67&amp;" - "&amp;BUNDESLIGA!H67,"")</f>
        <v>0 - 4</v>
      </c>
      <c r="J14" s="162"/>
      <c r="L14" s="71" t="str">
        <f>BUNDESLIGA!F122&amp;IF(OR(BUNDESLIGA!G122="",BUNDESLIGA!H122=""),"",IF(BUNDESLIGA!G122&gt;BUNDESLIGA!H122,"",IF(BUNDESLIGA!G122&lt;BUNDESLIGA!H122,"","")))</f>
        <v>SC Paderborn 07</v>
      </c>
      <c r="M14" s="72" t="str">
        <f>BUNDESLIGA!I122&amp;IF(OR(BUNDESLIGA!G122="",BUNDESLIGA!H122=""),"",IF(BUNDESLIGA!G122&lt;BUNDESLIGA!H122,"",IF(BUNDESLIGA!G122&gt;BUNDESLIGA!H122,"","")))</f>
        <v>FC Augsburg</v>
      </c>
      <c r="N14" s="161" t="str">
        <f>IF(BUNDESLIGA!G122&lt;&gt;"",BUNDESLIGA!G122&amp;" - "&amp;BUNDESLIGA!H122,"")</f>
        <v>0 - 1</v>
      </c>
      <c r="O14" s="162"/>
      <c r="Q14" s="71" t="str">
        <f>BUNDESLIGA!F177&amp;IF(OR(BUNDESLIGA!G177="",BUNDESLIGA!H177=""),"",IF(BUNDESLIGA!G177&gt;BUNDESLIGA!H177,"",IF(BUNDESLIGA!G177&lt;BUNDESLIGA!H177,"","")))</f>
        <v>1. FC Union Berlin</v>
      </c>
      <c r="R14" s="72" t="str">
        <f>BUNDESLIGA!I177&amp;IF(OR(BUNDESLIGA!G177="",BUNDESLIGA!H177=""),"",IF(BUNDESLIGA!G177&lt;BUNDESLIGA!H177,"",IF(BUNDESLIGA!G177&gt;BUNDESLIGA!H177,"","")))</f>
        <v>1899 Hoffenheim</v>
      </c>
      <c r="S14" s="161" t="str">
        <f>IF(BUNDESLIGA!G177&lt;&gt;"",BUNDESLIGA!G177&amp;" - "&amp;BUNDESLIGA!H177,"")</f>
        <v>0 - 2</v>
      </c>
      <c r="T14" s="162"/>
    </row>
    <row r="15" spans="2:20" x14ac:dyDescent="0.25">
      <c r="B15" s="60"/>
      <c r="C15" s="60"/>
      <c r="G15" s="60"/>
      <c r="H15" s="60"/>
      <c r="L15" s="60"/>
      <c r="M15" s="60"/>
      <c r="Q15" s="60"/>
      <c r="R15" s="60"/>
    </row>
    <row r="16" spans="2:20" x14ac:dyDescent="0.25">
      <c r="B16" s="158" t="s">
        <v>156</v>
      </c>
      <c r="C16" s="159"/>
      <c r="D16" s="159"/>
      <c r="E16" s="160"/>
      <c r="G16" s="158" t="s">
        <v>155</v>
      </c>
      <c r="H16" s="159"/>
      <c r="I16" s="159"/>
      <c r="J16" s="160"/>
      <c r="L16" s="158" t="s">
        <v>51</v>
      </c>
      <c r="M16" s="159"/>
      <c r="N16" s="159"/>
      <c r="O16" s="160"/>
      <c r="Q16" s="158" t="s">
        <v>56</v>
      </c>
      <c r="R16" s="159"/>
      <c r="S16" s="159"/>
      <c r="T16" s="160"/>
    </row>
    <row r="17" spans="2:20" x14ac:dyDescent="0.25">
      <c r="B17" s="71" t="str">
        <f>BUNDESLIGA!F15&amp;IF(OR(BUNDESLIGA!G15="",BUNDESLIGA!H15=""),"",IF(BUNDESLIGA!G15&gt;BUNDESLIGA!H15,"",IF(BUNDESLIGA!G15&lt;BUNDESLIGA!H15,"","")))</f>
        <v>1. FC Köln</v>
      </c>
      <c r="C17" s="72" t="str">
        <f>BUNDESLIGA!I15&amp;IF(OR(BUNDESLIGA!G15="",BUNDESLIGA!H15=""),"",IF(BUNDESLIGA!G15&lt;BUNDESLIGA!H15,"",IF(BUNDESLIGA!G15&gt;BUNDESLIGA!H15,"","")))</f>
        <v>Borussia Dortmund</v>
      </c>
      <c r="D17" s="161" t="str">
        <f>IF(BUNDESLIGA!G15&lt;&gt;"",BUNDESLIGA!G15&amp;" - "&amp;BUNDESLIGA!H15,"")</f>
        <v>1 - 3</v>
      </c>
      <c r="E17" s="162"/>
      <c r="G17" s="71" t="str">
        <f>BUNDESLIGA!F70&amp;IF(OR(BUNDESLIGA!G70="",BUNDESLIGA!H70=""),"",IF(BUNDESLIGA!G70&gt;BUNDESLIGA!H70,"",IF(BUNDESLIGA!G70&lt;BUNDESLIGA!H70,"","")))</f>
        <v>Bayern München</v>
      </c>
      <c r="H17" s="72" t="str">
        <f>BUNDESLIGA!I70&amp;IF(OR(BUNDESLIGA!G70="",BUNDESLIGA!H70=""),"",IF(BUNDESLIGA!G70&lt;BUNDESLIGA!H70,"",IF(BUNDESLIGA!G70&gt;BUNDESLIGA!H70,"","")))</f>
        <v>1899 Hoffenheim</v>
      </c>
      <c r="I17" s="161" t="str">
        <f>IF(BUNDESLIGA!G70&lt;&gt;"",BUNDESLIGA!G70&amp;" - "&amp;BUNDESLIGA!H70,"")</f>
        <v>1 - 2</v>
      </c>
      <c r="J17" s="162"/>
      <c r="L17" s="71" t="str">
        <f>BUNDESLIGA!F125&amp;IF(OR(BUNDESLIGA!G125="",BUNDESLIGA!H125=""),"",IF(BUNDESLIGA!G125&gt;BUNDESLIGA!H125,"",IF(BUNDESLIGA!G125&lt;BUNDESLIGA!H125,"","")))</f>
        <v>Borussia Dortmund</v>
      </c>
      <c r="M17" s="72" t="str">
        <f>BUNDESLIGA!I125&amp;IF(OR(BUNDESLIGA!G125="",BUNDESLIGA!H125=""),"",IF(BUNDESLIGA!G125&lt;BUNDESLIGA!H125,"",IF(BUNDESLIGA!G125&gt;BUNDESLIGA!H125,"","")))</f>
        <v>SC Paderborn 07</v>
      </c>
      <c r="N17" s="161" t="str">
        <f>IF(BUNDESLIGA!G125&lt;&gt;"",BUNDESLIGA!G125&amp;" - "&amp;BUNDESLIGA!H125,"")</f>
        <v>3 - 3</v>
      </c>
      <c r="O17" s="162"/>
      <c r="Q17" s="71" t="str">
        <f>BUNDESLIGA!F180&amp;IF(OR(BUNDESLIGA!G180="",BUNDESLIGA!H180=""),"",IF(BUNDESLIGA!G180&gt;BUNDESLIGA!H180,"",IF(BUNDESLIGA!G180&lt;BUNDESLIGA!H180,"","")))</f>
        <v>Bayern München</v>
      </c>
      <c r="R17" s="72" t="str">
        <f>BUNDESLIGA!I180&amp;IF(OR(BUNDESLIGA!G180="",BUNDESLIGA!H180=""),"",IF(BUNDESLIGA!G180&lt;BUNDESLIGA!H180,"",IF(BUNDESLIGA!G180&gt;BUNDESLIGA!H180,"","")))</f>
        <v>VfL Wolfsburg</v>
      </c>
      <c r="S17" s="161" t="str">
        <f>IF(BUNDESLIGA!G180&lt;&gt;"",BUNDESLIGA!G180&amp;" - "&amp;BUNDESLIGA!H180,"")</f>
        <v>2 - 0</v>
      </c>
      <c r="T17" s="162"/>
    </row>
    <row r="18" spans="2:20" x14ac:dyDescent="0.25">
      <c r="B18" s="71" t="str">
        <f>BUNDESLIGA!F16&amp;IF(OR(BUNDESLIGA!G16="",BUNDESLIGA!H16=""),"",IF(BUNDESLIGA!G16&gt;BUNDESLIGA!H16,"",IF(BUNDESLIGA!G16&lt;BUNDESLIGA!H16,"","")))</f>
        <v>1899 Hoffenheim</v>
      </c>
      <c r="C18" s="72" t="str">
        <f>BUNDESLIGA!I16&amp;IF(OR(BUNDESLIGA!G16="",BUNDESLIGA!H16=""),"",IF(BUNDESLIGA!G16&lt;BUNDESLIGA!H16,"",IF(BUNDESLIGA!G16&gt;BUNDESLIGA!H16,"","")))</f>
        <v>Werder Bremen</v>
      </c>
      <c r="D18" s="161" t="str">
        <f>IF(BUNDESLIGA!G16&lt;&gt;"",BUNDESLIGA!G16&amp;" - "&amp;BUNDESLIGA!H16,"")</f>
        <v>3 - 2</v>
      </c>
      <c r="E18" s="162"/>
      <c r="G18" s="71" t="str">
        <f>BUNDESLIGA!F71&amp;IF(OR(BUNDESLIGA!G71="",BUNDESLIGA!H71=""),"",IF(BUNDESLIGA!G71&gt;BUNDESLIGA!H71,"",IF(BUNDESLIGA!G71&lt;BUNDESLIGA!H71,"","")))</f>
        <v>Bayer Leverkusen</v>
      </c>
      <c r="H18" s="72" t="str">
        <f>BUNDESLIGA!I71&amp;IF(OR(BUNDESLIGA!G71="",BUNDESLIGA!H71=""),"",IF(BUNDESLIGA!G71&lt;BUNDESLIGA!H71,"",IF(BUNDESLIGA!G71&gt;BUNDESLIGA!H71,"","")))</f>
        <v>RB Leipzig</v>
      </c>
      <c r="I18" s="161" t="str">
        <f>IF(BUNDESLIGA!G71&lt;&gt;"",BUNDESLIGA!G71&amp;" - "&amp;BUNDESLIGA!H71,"")</f>
        <v>1 - 1</v>
      </c>
      <c r="J18" s="162"/>
      <c r="L18" s="71" t="str">
        <f>BUNDESLIGA!F126&amp;IF(OR(BUNDESLIGA!G126="",BUNDESLIGA!H126=""),"",IF(BUNDESLIGA!G126&gt;BUNDESLIGA!H126,"",IF(BUNDESLIGA!G126&lt;BUNDESLIGA!H126,"","")))</f>
        <v>RB Leipzig</v>
      </c>
      <c r="M18" s="72" t="str">
        <f>BUNDESLIGA!I126&amp;IF(OR(BUNDESLIGA!G126="",BUNDESLIGA!H126=""),"",IF(BUNDESLIGA!G126&lt;BUNDESLIGA!H126,"",IF(BUNDESLIGA!G126&gt;BUNDESLIGA!H126,"","")))</f>
        <v>1. FC Köln</v>
      </c>
      <c r="N18" s="161" t="str">
        <f>IF(BUNDESLIGA!G126&lt;&gt;"",BUNDESLIGA!G126&amp;" - "&amp;BUNDESLIGA!H126,"")</f>
        <v>4 - 1</v>
      </c>
      <c r="O18" s="162"/>
      <c r="Q18" s="71" t="str">
        <f>BUNDESLIGA!F181&amp;IF(OR(BUNDESLIGA!G181="",BUNDESLIGA!H181=""),"",IF(BUNDESLIGA!G181&gt;BUNDESLIGA!H181,"",IF(BUNDESLIGA!G181&lt;BUNDESLIGA!H181,"","")))</f>
        <v>RB Leipzig</v>
      </c>
      <c r="R18" s="72" t="str">
        <f>BUNDESLIGA!I181&amp;IF(OR(BUNDESLIGA!G181="",BUNDESLIGA!H181=""),"",IF(BUNDESLIGA!G181&lt;BUNDESLIGA!H181,"",IF(BUNDESLIGA!G181&gt;BUNDESLIGA!H181,"","")))</f>
        <v>FC Augsburg</v>
      </c>
      <c r="S18" s="161" t="str">
        <f>IF(BUNDESLIGA!G181&lt;&gt;"",BUNDESLIGA!G181&amp;" - "&amp;BUNDESLIGA!H181,"")</f>
        <v>3 - 1</v>
      </c>
      <c r="T18" s="162"/>
    </row>
    <row r="19" spans="2:20" x14ac:dyDescent="0.25">
      <c r="B19" s="71" t="str">
        <f>BUNDESLIGA!F17&amp;IF(OR(BUNDESLIGA!G17="",BUNDESLIGA!H17=""),"",IF(BUNDESLIGA!G17&gt;BUNDESLIGA!H17,"",IF(BUNDESLIGA!G17&lt;BUNDESLIGA!H17,"","")))</f>
        <v>Fortuna Düsseldorf</v>
      </c>
      <c r="C19" s="72" t="str">
        <f>BUNDESLIGA!I17&amp;IF(OR(BUNDESLIGA!G17="",BUNDESLIGA!H17=""),"",IF(BUNDESLIGA!G17&lt;BUNDESLIGA!H17,"",IF(BUNDESLIGA!G17&gt;BUNDESLIGA!H17,"","")))</f>
        <v>Bayer Leverkusen</v>
      </c>
      <c r="D19" s="161" t="str">
        <f>IF(BUNDESLIGA!G17&lt;&gt;"",BUNDESLIGA!G17&amp;" - "&amp;BUNDESLIGA!H17,"")</f>
        <v>1 - 3</v>
      </c>
      <c r="E19" s="162"/>
      <c r="G19" s="71" t="str">
        <f>BUNDESLIGA!F72&amp;IF(OR(BUNDESLIGA!G72="",BUNDESLIGA!H72=""),"",IF(BUNDESLIGA!G72&gt;BUNDESLIGA!H72,"",IF(BUNDESLIGA!G72&lt;BUNDESLIGA!H72,"","")))</f>
        <v>Bor. Mönchengladbach</v>
      </c>
      <c r="H19" s="72" t="str">
        <f>BUNDESLIGA!I72&amp;IF(OR(BUNDESLIGA!G72="",BUNDESLIGA!H72=""),"",IF(BUNDESLIGA!G72&lt;BUNDESLIGA!H72,"",IF(BUNDESLIGA!G72&gt;BUNDESLIGA!H72,"","")))</f>
        <v>FC Augsburg</v>
      </c>
      <c r="I19" s="161" t="str">
        <f>IF(BUNDESLIGA!G72&lt;&gt;"",BUNDESLIGA!G72&amp;" - "&amp;BUNDESLIGA!H72,"")</f>
        <v>5 - 1</v>
      </c>
      <c r="J19" s="162"/>
      <c r="L19" s="71" t="str">
        <f>BUNDESLIGA!F127&amp;IF(OR(BUNDESLIGA!G127="",BUNDESLIGA!H127=""),"",IF(BUNDESLIGA!G127&gt;BUNDESLIGA!H127,"",IF(BUNDESLIGA!G127&lt;BUNDESLIGA!H127,"","")))</f>
        <v>Bayer Leverkusen</v>
      </c>
      <c r="M19" s="72" t="str">
        <f>BUNDESLIGA!I127&amp;IF(OR(BUNDESLIGA!G127="",BUNDESLIGA!H127=""),"",IF(BUNDESLIGA!G127&lt;BUNDESLIGA!H127,"",IF(BUNDESLIGA!G127&gt;BUNDESLIGA!H127,"","")))</f>
        <v>SC Freiburg</v>
      </c>
      <c r="N19" s="161" t="str">
        <f>IF(BUNDESLIGA!G127&lt;&gt;"",BUNDESLIGA!G127&amp;" - "&amp;BUNDESLIGA!H127,"")</f>
        <v>1 - 1</v>
      </c>
      <c r="O19" s="162"/>
      <c r="Q19" s="71" t="str">
        <f>BUNDESLIGA!F182&amp;IF(OR(BUNDESLIGA!G182="",BUNDESLIGA!H182=""),"",IF(BUNDESLIGA!G182&gt;BUNDESLIGA!H182,"",IF(BUNDESLIGA!G182&lt;BUNDESLIGA!H182,"","")))</f>
        <v>1899 Hoffenheim</v>
      </c>
      <c r="R19" s="72" t="str">
        <f>BUNDESLIGA!I182&amp;IF(OR(BUNDESLIGA!G182="",BUNDESLIGA!H182=""),"",IF(BUNDESLIGA!G182&lt;BUNDESLIGA!H182,"",IF(BUNDESLIGA!G182&gt;BUNDESLIGA!H182,"","")))</f>
        <v>Borussia Dortmund</v>
      </c>
      <c r="S19" s="161" t="str">
        <f>IF(BUNDESLIGA!G182&lt;&gt;"",BUNDESLIGA!G182&amp;" - "&amp;BUNDESLIGA!H182,"")</f>
        <v>2 - 1</v>
      </c>
      <c r="T19" s="162"/>
    </row>
    <row r="20" spans="2:20" x14ac:dyDescent="0.25">
      <c r="B20" s="71" t="str">
        <f>BUNDESLIGA!F18&amp;IF(OR(BUNDESLIGA!G18="",BUNDESLIGA!H18=""),"",IF(BUNDESLIGA!G18&gt;BUNDESLIGA!H18,"",IF(BUNDESLIGA!G18&lt;BUNDESLIGA!H18,"","")))</f>
        <v>1. FSV Mainz 05</v>
      </c>
      <c r="C20" s="72" t="str">
        <f>BUNDESLIGA!I18&amp;IF(OR(BUNDESLIGA!G18="",BUNDESLIGA!H18=""),"",IF(BUNDESLIGA!G18&lt;BUNDESLIGA!H18,"",IF(BUNDESLIGA!G18&gt;BUNDESLIGA!H18,"","")))</f>
        <v>Bor. Mönchengladbach</v>
      </c>
      <c r="D20" s="161" t="str">
        <f>IF(BUNDESLIGA!G18&lt;&gt;"",BUNDESLIGA!G18&amp;" - "&amp;BUNDESLIGA!H18,"")</f>
        <v>1 - 3</v>
      </c>
      <c r="E20" s="162"/>
      <c r="G20" s="71" t="str">
        <f>BUNDESLIGA!F73&amp;IF(OR(BUNDESLIGA!G73="",BUNDESLIGA!H73=""),"",IF(BUNDESLIGA!G73&gt;BUNDESLIGA!H73,"",IF(BUNDESLIGA!G73&lt;BUNDESLIGA!H73,"","")))</f>
        <v>VfL Wolfsburg</v>
      </c>
      <c r="H20" s="72" t="str">
        <f>BUNDESLIGA!I73&amp;IF(OR(BUNDESLIGA!G73="",BUNDESLIGA!H73=""),"",IF(BUNDESLIGA!G73&lt;BUNDESLIGA!H73,"",IF(BUNDESLIGA!G73&gt;BUNDESLIGA!H73,"","")))</f>
        <v>1. FC Union Berlin</v>
      </c>
      <c r="I20" s="161" t="str">
        <f>IF(BUNDESLIGA!G73&lt;&gt;"",BUNDESLIGA!G73&amp;" - "&amp;BUNDESLIGA!H73,"")</f>
        <v>1 - 0</v>
      </c>
      <c r="J20" s="162"/>
      <c r="L20" s="71" t="str">
        <f>BUNDESLIGA!F128&amp;IF(OR(BUNDESLIGA!G128="",BUNDESLIGA!H128=""),"",IF(BUNDESLIGA!G128&gt;BUNDESLIGA!H128,"",IF(BUNDESLIGA!G128&lt;BUNDESLIGA!H128,"","")))</f>
        <v>Eintracht Frankfurt</v>
      </c>
      <c r="M20" s="72" t="str">
        <f>BUNDESLIGA!I128&amp;IF(OR(BUNDESLIGA!G128="",BUNDESLIGA!H128=""),"",IF(BUNDESLIGA!G128&lt;BUNDESLIGA!H128,"",IF(BUNDESLIGA!G128&gt;BUNDESLIGA!H128,"","")))</f>
        <v>VfL Wolfsburg</v>
      </c>
      <c r="N20" s="161" t="str">
        <f>IF(BUNDESLIGA!G128&lt;&gt;"",BUNDESLIGA!G128&amp;" - "&amp;BUNDESLIGA!H128,"")</f>
        <v>0 - 2</v>
      </c>
      <c r="O20" s="162"/>
      <c r="Q20" s="71" t="str">
        <f>BUNDESLIGA!F183&amp;IF(OR(BUNDESLIGA!G183="",BUNDESLIGA!H183=""),"",IF(BUNDESLIGA!G183&gt;BUNDESLIGA!H183,"",IF(BUNDESLIGA!G183&lt;BUNDESLIGA!H183,"","")))</f>
        <v>Fortuna Düsseldorf</v>
      </c>
      <c r="R20" s="72" t="str">
        <f>BUNDESLIGA!I183&amp;IF(OR(BUNDESLIGA!G183="",BUNDESLIGA!H183=""),"",IF(BUNDESLIGA!G183&lt;BUNDESLIGA!H183,"",IF(BUNDESLIGA!G183&gt;BUNDESLIGA!H183,"","")))</f>
        <v>1. FC Union Berlin</v>
      </c>
      <c r="S20" s="161" t="str">
        <f>IF(BUNDESLIGA!G183&lt;&gt;"",BUNDESLIGA!G183&amp;" - "&amp;BUNDESLIGA!H183,"")</f>
        <v>2 - 1</v>
      </c>
      <c r="T20" s="162"/>
    </row>
    <row r="21" spans="2:20" x14ac:dyDescent="0.25">
      <c r="B21" s="71" t="str">
        <f>BUNDESLIGA!F19&amp;IF(OR(BUNDESLIGA!G19="",BUNDESLIGA!H19=""),"",IF(BUNDESLIGA!G19&gt;BUNDESLIGA!H19,"",IF(BUNDESLIGA!G19&lt;BUNDESLIGA!H19,"","")))</f>
        <v>FC Augsburg</v>
      </c>
      <c r="C21" s="72" t="str">
        <f>BUNDESLIGA!I19&amp;IF(OR(BUNDESLIGA!G19="",BUNDESLIGA!H19=""),"",IF(BUNDESLIGA!G19&lt;BUNDESLIGA!H19,"",IF(BUNDESLIGA!G19&gt;BUNDESLIGA!H19,"","")))</f>
        <v>1. FC Union Berlin</v>
      </c>
      <c r="D21" s="161" t="str">
        <f>IF(BUNDESLIGA!G19&lt;&gt;"",BUNDESLIGA!G19&amp;" - "&amp;BUNDESLIGA!H19,"")</f>
        <v>1 - 1</v>
      </c>
      <c r="E21" s="162"/>
      <c r="G21" s="71" t="str">
        <f>BUNDESLIGA!F74&amp;IF(OR(BUNDESLIGA!G74="",BUNDESLIGA!H74=""),"",IF(BUNDESLIGA!G74&gt;BUNDESLIGA!H74,"",IF(BUNDESLIGA!G74&lt;BUNDESLIGA!H74,"","")))</f>
        <v>Eintracht Frankfurt</v>
      </c>
      <c r="H21" s="72" t="str">
        <f>BUNDESLIGA!I74&amp;IF(OR(BUNDESLIGA!G74="",BUNDESLIGA!H74=""),"",IF(BUNDESLIGA!G74&lt;BUNDESLIGA!H74,"",IF(BUNDESLIGA!G74&gt;BUNDESLIGA!H74,"","")))</f>
        <v>Werder Bremen</v>
      </c>
      <c r="I21" s="161" t="str">
        <f>IF(BUNDESLIGA!G74&lt;&gt;"",BUNDESLIGA!G74&amp;" - "&amp;BUNDESLIGA!H74,"")</f>
        <v>2 - 2</v>
      </c>
      <c r="J21" s="162"/>
      <c r="L21" s="71" t="str">
        <f>BUNDESLIGA!F129&amp;IF(OR(BUNDESLIGA!G129="",BUNDESLIGA!H129=""),"",IF(BUNDESLIGA!G129&gt;BUNDESLIGA!H129,"",IF(BUNDESLIGA!G129&lt;BUNDESLIGA!H129,"","")))</f>
        <v>Werder Bremen</v>
      </c>
      <c r="M21" s="72" t="str">
        <f>BUNDESLIGA!I129&amp;IF(OR(BUNDESLIGA!G129="",BUNDESLIGA!H129=""),"",IF(BUNDESLIGA!G129&lt;BUNDESLIGA!H129,"",IF(BUNDESLIGA!G129&gt;BUNDESLIGA!H129,"","")))</f>
        <v>FC Schalke 04</v>
      </c>
      <c r="N21" s="161" t="str">
        <f>IF(BUNDESLIGA!G129&lt;&gt;"",BUNDESLIGA!G129&amp;" - "&amp;BUNDESLIGA!H129,"")</f>
        <v>1 - 2</v>
      </c>
      <c r="O21" s="162"/>
      <c r="Q21" s="71" t="str">
        <f>BUNDESLIGA!F184&amp;IF(OR(BUNDESLIGA!G184="",BUNDESLIGA!H184=""),"",IF(BUNDESLIGA!G184&gt;BUNDESLIGA!H184,"",IF(BUNDESLIGA!G184&lt;BUNDESLIGA!H184,"","")))</f>
        <v>Hertha BSC</v>
      </c>
      <c r="R21" s="72" t="str">
        <f>BUNDESLIGA!I184&amp;IF(OR(BUNDESLIGA!G184="",BUNDESLIGA!H184=""),"",IF(BUNDESLIGA!G184&lt;BUNDESLIGA!H184,"",IF(BUNDESLIGA!G184&gt;BUNDESLIGA!H184,"","")))</f>
        <v>Bor. Mönchengladbach</v>
      </c>
      <c r="S21" s="161" t="str">
        <f>IF(BUNDESLIGA!G184&lt;&gt;"",BUNDESLIGA!G184&amp;" - "&amp;BUNDESLIGA!H184,"")</f>
        <v>0 - 0</v>
      </c>
      <c r="T21" s="162"/>
    </row>
    <row r="22" spans="2:20" x14ac:dyDescent="0.25">
      <c r="B22" s="71" t="str">
        <f>BUNDESLIGA!F20&amp;IF(OR(BUNDESLIGA!G20="",BUNDESLIGA!H20=""),"",IF(BUNDESLIGA!G20&gt;BUNDESLIGA!H20,"",IF(BUNDESLIGA!G20&lt;BUNDESLIGA!H20,"","")))</f>
        <v>SC Paderborn 07</v>
      </c>
      <c r="C22" s="72" t="str">
        <f>BUNDESLIGA!I20&amp;IF(OR(BUNDESLIGA!G20="",BUNDESLIGA!H20=""),"",IF(BUNDESLIGA!G20&lt;BUNDESLIGA!H20,"",IF(BUNDESLIGA!G20&gt;BUNDESLIGA!H20,"","")))</f>
        <v>SC Freiburg</v>
      </c>
      <c r="D22" s="161" t="str">
        <f>IF(BUNDESLIGA!G20&lt;&gt;"",BUNDESLIGA!G20&amp;" - "&amp;BUNDESLIGA!H20,"")</f>
        <v>1 - 3</v>
      </c>
      <c r="E22" s="162"/>
      <c r="G22" s="71" t="str">
        <f>BUNDESLIGA!F75&amp;IF(OR(BUNDESLIGA!G75="",BUNDESLIGA!H75=""),"",IF(BUNDESLIGA!G75&gt;BUNDESLIGA!H75,"",IF(BUNDESLIGA!G75&lt;BUNDESLIGA!H75,"","")))</f>
        <v>Hertha BSC</v>
      </c>
      <c r="H22" s="72" t="str">
        <f>BUNDESLIGA!I75&amp;IF(OR(BUNDESLIGA!G75="",BUNDESLIGA!H75=""),"",IF(BUNDESLIGA!G75&lt;BUNDESLIGA!H75,"",IF(BUNDESLIGA!G75&gt;BUNDESLIGA!H75,"","")))</f>
        <v>Fortuna Düsseldorf</v>
      </c>
      <c r="I22" s="161" t="str">
        <f>IF(BUNDESLIGA!G75&lt;&gt;"",BUNDESLIGA!G75&amp;" - "&amp;BUNDESLIGA!H75,"")</f>
        <v>3 - 1</v>
      </c>
      <c r="J22" s="162"/>
      <c r="L22" s="71" t="str">
        <f>BUNDESLIGA!F130&amp;IF(OR(BUNDESLIGA!G130="",BUNDESLIGA!H130=""),"",IF(BUNDESLIGA!G130&gt;BUNDESLIGA!H130,"",IF(BUNDESLIGA!G130&lt;BUNDESLIGA!H130,"","")))</f>
        <v>1899 Hoffenheim</v>
      </c>
      <c r="M22" s="72" t="str">
        <f>BUNDESLIGA!I130&amp;IF(OR(BUNDESLIGA!G130="",BUNDESLIGA!H130=""),"",IF(BUNDESLIGA!G130&lt;BUNDESLIGA!H130,"",IF(BUNDESLIGA!G130&gt;BUNDESLIGA!H130,"","")))</f>
        <v>1. FSV Mainz 05</v>
      </c>
      <c r="N22" s="161" t="str">
        <f>IF(BUNDESLIGA!G130&lt;&gt;"",BUNDESLIGA!G130&amp;" - "&amp;BUNDESLIGA!H130,"")</f>
        <v>1 - 5</v>
      </c>
      <c r="O22" s="162"/>
      <c r="Q22" s="71" t="str">
        <f>BUNDESLIGA!F185&amp;IF(OR(BUNDESLIGA!G185="",BUNDESLIGA!H185=""),"",IF(BUNDESLIGA!G185&gt;BUNDESLIGA!H185,"",IF(BUNDESLIGA!G185&lt;BUNDESLIGA!H185,"","")))</f>
        <v>1. FSV Mainz 05</v>
      </c>
      <c r="R22" s="72" t="str">
        <f>BUNDESLIGA!I185&amp;IF(OR(BUNDESLIGA!G185="",BUNDESLIGA!H185=""),"",IF(BUNDESLIGA!G185&lt;BUNDESLIGA!H185,"",IF(BUNDESLIGA!G185&gt;BUNDESLIGA!H185,"","")))</f>
        <v>Bayer Leverkusen</v>
      </c>
      <c r="S22" s="161" t="str">
        <f>IF(BUNDESLIGA!G185&lt;&gt;"",BUNDESLIGA!G185&amp;" - "&amp;BUNDESLIGA!H185,"")</f>
        <v>0 - 1</v>
      </c>
      <c r="T22" s="162"/>
    </row>
    <row r="23" spans="2:20" x14ac:dyDescent="0.25">
      <c r="B23" s="71" t="str">
        <f>BUNDESLIGA!F21&amp;IF(OR(BUNDESLIGA!G21="",BUNDESLIGA!H21=""),"",IF(BUNDESLIGA!G21&gt;BUNDESLIGA!H21,"",IF(BUNDESLIGA!G21&lt;BUNDESLIGA!H21,"","")))</f>
        <v>FC Schalke 04</v>
      </c>
      <c r="C23" s="72" t="str">
        <f>BUNDESLIGA!I21&amp;IF(OR(BUNDESLIGA!G21="",BUNDESLIGA!H21=""),"",IF(BUNDESLIGA!G21&lt;BUNDESLIGA!H21,"",IF(BUNDESLIGA!G21&gt;BUNDESLIGA!H21,"","")))</f>
        <v>Bayern München</v>
      </c>
      <c r="D23" s="161" t="str">
        <f>IF(BUNDESLIGA!G21&lt;&gt;"",BUNDESLIGA!G21&amp;" - "&amp;BUNDESLIGA!H21,"")</f>
        <v>0 - 3</v>
      </c>
      <c r="E23" s="162"/>
      <c r="G23" s="71" t="str">
        <f>BUNDESLIGA!F76&amp;IF(OR(BUNDESLIGA!G76="",BUNDESLIGA!H76=""),"",IF(BUNDESLIGA!G76&gt;BUNDESLIGA!H76,"",IF(BUNDESLIGA!G76&lt;BUNDESLIGA!H76,"","")))</f>
        <v>SC Freiburg</v>
      </c>
      <c r="H23" s="72" t="str">
        <f>BUNDESLIGA!I76&amp;IF(OR(BUNDESLIGA!G76="",BUNDESLIGA!H76=""),"",IF(BUNDESLIGA!G76&lt;BUNDESLIGA!H76,"",IF(BUNDESLIGA!G76&gt;BUNDESLIGA!H76,"","")))</f>
        <v>Borussia Dortmund</v>
      </c>
      <c r="I23" s="161" t="str">
        <f>IF(BUNDESLIGA!G76&lt;&gt;"",BUNDESLIGA!G76&amp;" - "&amp;BUNDESLIGA!H76,"")</f>
        <v>2 - 2</v>
      </c>
      <c r="J23" s="162"/>
      <c r="L23" s="71" t="str">
        <f>BUNDESLIGA!F131&amp;IF(OR(BUNDESLIGA!G131="",BUNDESLIGA!H131=""),"",IF(BUNDESLIGA!G131&gt;BUNDESLIGA!H131,"",IF(BUNDESLIGA!G131&lt;BUNDESLIGA!H131,"","")))</f>
        <v>Fortuna Düsseldorf</v>
      </c>
      <c r="M23" s="72" t="str">
        <f>BUNDESLIGA!I131&amp;IF(OR(BUNDESLIGA!G131="",BUNDESLIGA!H131=""),"",IF(BUNDESLIGA!G131&lt;BUNDESLIGA!H131,"",IF(BUNDESLIGA!G131&gt;BUNDESLIGA!H131,"","")))</f>
        <v>Bayern München</v>
      </c>
      <c r="N23" s="161" t="str">
        <f>IF(BUNDESLIGA!G131&lt;&gt;"",BUNDESLIGA!G131&amp;" - "&amp;BUNDESLIGA!H131,"")</f>
        <v>0 - 4</v>
      </c>
      <c r="O23" s="162"/>
      <c r="Q23" s="71" t="str">
        <f>BUNDESLIGA!F186&amp;IF(OR(BUNDESLIGA!G186="",BUNDESLIGA!H186=""),"",IF(BUNDESLIGA!G186&gt;BUNDESLIGA!H186,"",IF(BUNDESLIGA!G186&lt;BUNDESLIGA!H186,"","")))</f>
        <v>FC Schalke 04</v>
      </c>
      <c r="R23" s="72" t="str">
        <f>BUNDESLIGA!I186&amp;IF(OR(BUNDESLIGA!G186="",BUNDESLIGA!H186=""),"",IF(BUNDESLIGA!G186&lt;BUNDESLIGA!H186,"",IF(BUNDESLIGA!G186&gt;BUNDESLIGA!H186,"","")))</f>
        <v>SC Freiburg</v>
      </c>
      <c r="S23" s="161" t="str">
        <f>IF(BUNDESLIGA!G186&lt;&gt;"",BUNDESLIGA!G186&amp;" - "&amp;BUNDESLIGA!H186,"")</f>
        <v>2 - 2</v>
      </c>
      <c r="T23" s="162"/>
    </row>
    <row r="24" spans="2:20" x14ac:dyDescent="0.25">
      <c r="B24" s="71" t="str">
        <f>BUNDESLIGA!F22&amp;IF(OR(BUNDESLIGA!G22="",BUNDESLIGA!H22=""),"",IF(BUNDESLIGA!G22&gt;BUNDESLIGA!H22,"",IF(BUNDESLIGA!G22&lt;BUNDESLIGA!H22,"","")))</f>
        <v>RB Leipzig</v>
      </c>
      <c r="C24" s="72" t="str">
        <f>BUNDESLIGA!I22&amp;IF(OR(BUNDESLIGA!G22="",BUNDESLIGA!H22=""),"",IF(BUNDESLIGA!G22&lt;BUNDESLIGA!H22,"",IF(BUNDESLIGA!G22&gt;BUNDESLIGA!H22,"","")))</f>
        <v>Eintracht Frankfurt</v>
      </c>
      <c r="D24" s="161" t="str">
        <f>IF(BUNDESLIGA!G22&lt;&gt;"",BUNDESLIGA!G22&amp;" - "&amp;BUNDESLIGA!H22,"")</f>
        <v>2 - 1</v>
      </c>
      <c r="E24" s="162"/>
      <c r="G24" s="71" t="str">
        <f>BUNDESLIGA!F77&amp;IF(OR(BUNDESLIGA!G77="",BUNDESLIGA!H77=""),"",IF(BUNDESLIGA!G77&gt;BUNDESLIGA!H77,"",IF(BUNDESLIGA!G77&lt;BUNDESLIGA!H77,"","")))</f>
        <v>FC Schalke 04</v>
      </c>
      <c r="H24" s="72" t="str">
        <f>BUNDESLIGA!I77&amp;IF(OR(BUNDESLIGA!G77="",BUNDESLIGA!H77=""),"",IF(BUNDESLIGA!G77&lt;BUNDESLIGA!H77,"",IF(BUNDESLIGA!G77&gt;BUNDESLIGA!H77,"","")))</f>
        <v>1. FC Köln</v>
      </c>
      <c r="I24" s="161" t="str">
        <f>IF(BUNDESLIGA!G77&lt;&gt;"",BUNDESLIGA!G77&amp;" - "&amp;BUNDESLIGA!H77,"")</f>
        <v>1 - 1</v>
      </c>
      <c r="J24" s="162"/>
      <c r="L24" s="71" t="str">
        <f>BUNDESLIGA!F132&amp;IF(OR(BUNDESLIGA!G132="",BUNDESLIGA!H132=""),"",IF(BUNDESLIGA!G132&gt;BUNDESLIGA!H132,"",IF(BUNDESLIGA!G132&lt;BUNDESLIGA!H132,"","")))</f>
        <v>FC Augsburg</v>
      </c>
      <c r="M24" s="72" t="str">
        <f>BUNDESLIGA!I132&amp;IF(OR(BUNDESLIGA!G132="",BUNDESLIGA!H132=""),"",IF(BUNDESLIGA!G132&lt;BUNDESLIGA!H132,"",IF(BUNDESLIGA!G132&gt;BUNDESLIGA!H132,"","")))</f>
        <v>Hertha BSC</v>
      </c>
      <c r="N24" s="161" t="str">
        <f>IF(BUNDESLIGA!G132&lt;&gt;"",BUNDESLIGA!G132&amp;" - "&amp;BUNDESLIGA!H132,"")</f>
        <v>4 - 0</v>
      </c>
      <c r="O24" s="162"/>
      <c r="Q24" s="71" t="str">
        <f>BUNDESLIGA!F187&amp;IF(OR(BUNDESLIGA!G187="",BUNDESLIGA!H187=""),"",IF(BUNDESLIGA!G187&gt;BUNDESLIGA!H187,"",IF(BUNDESLIGA!G187&lt;BUNDESLIGA!H187,"","")))</f>
        <v>1. FC Köln</v>
      </c>
      <c r="R24" s="72" t="str">
        <f>BUNDESLIGA!I187&amp;IF(OR(BUNDESLIGA!G187="",BUNDESLIGA!H187=""),"",IF(BUNDESLIGA!G187&lt;BUNDESLIGA!H187,"",IF(BUNDESLIGA!G187&gt;BUNDESLIGA!H187,"","")))</f>
        <v>Werder Bremen</v>
      </c>
      <c r="S24" s="161" t="str">
        <f>IF(BUNDESLIGA!G187&lt;&gt;"",BUNDESLIGA!G187&amp;" - "&amp;BUNDESLIGA!H187,"")</f>
        <v>1 - 0</v>
      </c>
      <c r="T24" s="162"/>
    </row>
    <row r="25" spans="2:20" x14ac:dyDescent="0.25">
      <c r="B25" s="71" t="str">
        <f>BUNDESLIGA!F23&amp;IF(OR(BUNDESLIGA!G23="",BUNDESLIGA!H23=""),"",IF(BUNDESLIGA!G23&gt;BUNDESLIGA!H23,"",IF(BUNDESLIGA!G23&lt;BUNDESLIGA!H23,"","")))</f>
        <v>Hertha BSC</v>
      </c>
      <c r="C25" s="72" t="str">
        <f>BUNDESLIGA!I23&amp;IF(OR(BUNDESLIGA!G23="",BUNDESLIGA!H23=""),"",IF(BUNDESLIGA!G23&lt;BUNDESLIGA!H23,"",IF(BUNDESLIGA!G23&gt;BUNDESLIGA!H23,"","")))</f>
        <v>VfL Wolfsburg</v>
      </c>
      <c r="D25" s="161" t="str">
        <f>IF(BUNDESLIGA!G23&lt;&gt;"",BUNDESLIGA!G23&amp;" - "&amp;BUNDESLIGA!H23,"")</f>
        <v>0 - 3</v>
      </c>
      <c r="E25" s="162"/>
      <c r="G25" s="71" t="str">
        <f>BUNDESLIGA!F78&amp;IF(OR(BUNDESLIGA!G78="",BUNDESLIGA!H78=""),"",IF(BUNDESLIGA!G78&gt;BUNDESLIGA!H78,"",IF(BUNDESLIGA!G78&lt;BUNDESLIGA!H78,"","")))</f>
        <v>SC Paderborn 07</v>
      </c>
      <c r="H25" s="72" t="str">
        <f>BUNDESLIGA!I78&amp;IF(OR(BUNDESLIGA!G78="",BUNDESLIGA!H78=""),"",IF(BUNDESLIGA!G78&lt;BUNDESLIGA!H78,"",IF(BUNDESLIGA!G78&gt;BUNDESLIGA!H78,"","")))</f>
        <v>1. FSV Mainz 05</v>
      </c>
      <c r="I25" s="161" t="str">
        <f>IF(BUNDESLIGA!G78&lt;&gt;"",BUNDESLIGA!G78&amp;" - "&amp;BUNDESLIGA!H78,"")</f>
        <v>1 - 2</v>
      </c>
      <c r="J25" s="162"/>
      <c r="L25" s="71" t="str">
        <f>BUNDESLIGA!F133&amp;IF(OR(BUNDESLIGA!G133="",BUNDESLIGA!H133=""),"",IF(BUNDESLIGA!G133&gt;BUNDESLIGA!H133,"",IF(BUNDESLIGA!G133&lt;BUNDESLIGA!H133,"","")))</f>
        <v>1. FC Union Berlin</v>
      </c>
      <c r="M25" s="72" t="str">
        <f>BUNDESLIGA!I133&amp;IF(OR(BUNDESLIGA!G133="",BUNDESLIGA!H133=""),"",IF(BUNDESLIGA!G133&lt;BUNDESLIGA!H133,"",IF(BUNDESLIGA!G133&gt;BUNDESLIGA!H133,"","")))</f>
        <v>Bor. Mönchengladbach</v>
      </c>
      <c r="N25" s="161" t="str">
        <f>IF(BUNDESLIGA!G133&lt;&gt;"",BUNDESLIGA!G133&amp;" - "&amp;BUNDESLIGA!H133,"")</f>
        <v>2 - 0</v>
      </c>
      <c r="O25" s="162"/>
      <c r="Q25" s="71" t="str">
        <f>BUNDESLIGA!F188&amp;IF(OR(BUNDESLIGA!G188="",BUNDESLIGA!H188=""),"",IF(BUNDESLIGA!G188&gt;BUNDESLIGA!H188,"",IF(BUNDESLIGA!G188&lt;BUNDESLIGA!H188,"","")))</f>
        <v>SC Paderborn 07</v>
      </c>
      <c r="R25" s="72" t="str">
        <f>BUNDESLIGA!I188&amp;IF(OR(BUNDESLIGA!G188="",BUNDESLIGA!H188=""),"",IF(BUNDESLIGA!G188&lt;BUNDESLIGA!H188,"",IF(BUNDESLIGA!G188&gt;BUNDESLIGA!H188,"","")))</f>
        <v>Eintracht Frankfurt</v>
      </c>
      <c r="S25" s="161" t="str">
        <f>IF(BUNDESLIGA!G188&lt;&gt;"",BUNDESLIGA!G188&amp;" - "&amp;BUNDESLIGA!H188,"")</f>
        <v>2 - 1</v>
      </c>
      <c r="T25" s="162"/>
    </row>
    <row r="26" spans="2:20" x14ac:dyDescent="0.25">
      <c r="B26" s="60"/>
      <c r="C26" s="60"/>
      <c r="G26" s="60"/>
      <c r="H26" s="60"/>
      <c r="L26" s="60"/>
      <c r="M26" s="60"/>
      <c r="Q26" s="73" t="str">
        <f>BUNDESLIGA!F189&amp;IF(OR(BUNDESLIGA!G189="",BUNDESLIGA!H189=""),"",IF(BUNDESLIGA!G189&gt;BUNDESLIGA!H189,"",IF(BUNDESLIGA!G189&lt;BUNDESLIGA!H189,"","")))</f>
        <v/>
      </c>
      <c r="R26" s="73" t="str">
        <f>BUNDESLIGA!I189&amp;IF(OR(BUNDESLIGA!G189="",BUNDESLIGA!H189=""),"",IF(BUNDESLIGA!G189&lt;BUNDESLIGA!H189,"",IF(BUNDESLIGA!G189&gt;BUNDESLIGA!H189,"","")))</f>
        <v/>
      </c>
      <c r="S26" s="73"/>
      <c r="T26" s="73"/>
    </row>
    <row r="27" spans="2:20" x14ac:dyDescent="0.25">
      <c r="B27" s="158" t="s">
        <v>153</v>
      </c>
      <c r="C27" s="159"/>
      <c r="D27" s="159"/>
      <c r="E27" s="160"/>
      <c r="G27" s="158" t="s">
        <v>154</v>
      </c>
      <c r="H27" s="159"/>
      <c r="I27" s="159"/>
      <c r="J27" s="160"/>
      <c r="L27" s="158" t="s">
        <v>52</v>
      </c>
      <c r="M27" s="159"/>
      <c r="N27" s="159"/>
      <c r="O27" s="160"/>
      <c r="Q27" s="99"/>
      <c r="R27" s="99"/>
      <c r="S27" s="99"/>
      <c r="T27" s="99"/>
    </row>
    <row r="28" spans="2:20" x14ac:dyDescent="0.25">
      <c r="B28" s="71" t="str">
        <f>BUNDESLIGA!F26&amp;IF(OR(BUNDESLIGA!G26="",BUNDESLIGA!H26=""),"",IF(BUNDESLIGA!G26&gt;BUNDESLIGA!H26,"",IF(BUNDESLIGA!G26&lt;BUNDESLIGA!H26,"","")))</f>
        <v>Bor. Mönchengladbach</v>
      </c>
      <c r="C28" s="72" t="str">
        <f>BUNDESLIGA!I26&amp;IF(OR(BUNDESLIGA!G26="",BUNDESLIGA!H26=""),"",IF(BUNDESLIGA!G26&lt;BUNDESLIGA!H26,"",IF(BUNDESLIGA!G26&gt;BUNDESLIGA!H26,"","")))</f>
        <v>RB Leipzig</v>
      </c>
      <c r="D28" s="161" t="str">
        <f>IF(BUNDESLIGA!G26&lt;&gt;"",BUNDESLIGA!G26&amp;" - "&amp;BUNDESLIGA!H26,"")</f>
        <v>1 - 3</v>
      </c>
      <c r="E28" s="162"/>
      <c r="G28" s="71" t="str">
        <f>BUNDESLIGA!F81&amp;IF(OR(BUNDESLIGA!G81="",BUNDESLIGA!H81=""),"",IF(BUNDESLIGA!G81&gt;BUNDESLIGA!H81,"",IF(BUNDESLIGA!G81&lt;BUNDESLIGA!H81,"","")))</f>
        <v>Borussia Dortmund</v>
      </c>
      <c r="H28" s="72" t="str">
        <f>BUNDESLIGA!I81&amp;IF(OR(BUNDESLIGA!G81="",BUNDESLIGA!H81=""),"",IF(BUNDESLIGA!G81&lt;BUNDESLIGA!H81,"",IF(BUNDESLIGA!G81&gt;BUNDESLIGA!H81,"","")))</f>
        <v>Bor. Mönchengladbach</v>
      </c>
      <c r="I28" s="161" t="str">
        <f>IF(BUNDESLIGA!G81&lt;&gt;"",BUNDESLIGA!G81&amp;" - "&amp;BUNDESLIGA!H81,"")</f>
        <v>1 - 0</v>
      </c>
      <c r="J28" s="162"/>
      <c r="L28" s="71" t="str">
        <f>BUNDESLIGA!F136&amp;IF(OR(BUNDESLIGA!G136="",BUNDESLIGA!H136=""),"",IF(BUNDESLIGA!G136&gt;BUNDESLIGA!H136,"",IF(BUNDESLIGA!G136&lt;BUNDESLIGA!H136,"","")))</f>
        <v>Bayern München</v>
      </c>
      <c r="M28" s="72" t="str">
        <f>BUNDESLIGA!I136&amp;IF(OR(BUNDESLIGA!G136="",BUNDESLIGA!H136=""),"",IF(BUNDESLIGA!G136&lt;BUNDESLIGA!H136,"",IF(BUNDESLIGA!G136&gt;BUNDESLIGA!H136,"","")))</f>
        <v>Bayer Leverkusen</v>
      </c>
      <c r="N28" s="161" t="str">
        <f>IF(BUNDESLIGA!G136&lt;&gt;"",BUNDESLIGA!G136&amp;" - "&amp;BUNDESLIGA!H136,"")</f>
        <v>1 - 2</v>
      </c>
      <c r="O28" s="162"/>
      <c r="Q28" s="63"/>
      <c r="R28" s="63"/>
      <c r="S28" s="63"/>
      <c r="T28" s="63"/>
    </row>
    <row r="29" spans="2:20" x14ac:dyDescent="0.25">
      <c r="B29" s="71" t="str">
        <f>BUNDESLIGA!F27&amp;IF(OR(BUNDESLIGA!G27="",BUNDESLIGA!H27=""),"",IF(BUNDESLIGA!G27&gt;BUNDESLIGA!H27,"",IF(BUNDESLIGA!G27&lt;BUNDESLIGA!H27,"","")))</f>
        <v>Bayern München</v>
      </c>
      <c r="C29" s="72" t="str">
        <f>BUNDESLIGA!I27&amp;IF(OR(BUNDESLIGA!G27="",BUNDESLIGA!H27=""),"",IF(BUNDESLIGA!G27&lt;BUNDESLIGA!H27,"",IF(BUNDESLIGA!G27&gt;BUNDESLIGA!H27,"","")))</f>
        <v>1. FSV Mainz 05</v>
      </c>
      <c r="D29" s="161" t="str">
        <f>IF(BUNDESLIGA!G27&lt;&gt;"",BUNDESLIGA!G27&amp;" - "&amp;BUNDESLIGA!H27,"")</f>
        <v>6 - 1</v>
      </c>
      <c r="E29" s="162"/>
      <c r="G29" s="71" t="str">
        <f>BUNDESLIGA!F82&amp;IF(OR(BUNDESLIGA!G82="",BUNDESLIGA!H82=""),"",IF(BUNDESLIGA!G82&gt;BUNDESLIGA!H82,"",IF(BUNDESLIGA!G82&lt;BUNDESLIGA!H82,"","")))</f>
        <v>RB Leipzig</v>
      </c>
      <c r="H29" s="72" t="str">
        <f>BUNDESLIGA!I82&amp;IF(OR(BUNDESLIGA!G82="",BUNDESLIGA!H82=""),"",IF(BUNDESLIGA!G82&lt;BUNDESLIGA!H82,"",IF(BUNDESLIGA!G82&gt;BUNDESLIGA!H82,"","")))</f>
        <v>VfL Wolfsburg</v>
      </c>
      <c r="I29" s="161" t="str">
        <f>IF(BUNDESLIGA!G82&lt;&gt;"",BUNDESLIGA!G82&amp;" - "&amp;BUNDESLIGA!H82,"")</f>
        <v>1 - 1</v>
      </c>
      <c r="J29" s="162"/>
      <c r="L29" s="71" t="str">
        <f>BUNDESLIGA!F137&amp;IF(OR(BUNDESLIGA!G137="",BUNDESLIGA!H137=""),"",IF(BUNDESLIGA!G137&gt;BUNDESLIGA!H137,"",IF(BUNDESLIGA!G137&lt;BUNDESLIGA!H137,"","")))</f>
        <v>Bor. Mönchengladbach</v>
      </c>
      <c r="M29" s="72" t="str">
        <f>BUNDESLIGA!I137&amp;IF(OR(BUNDESLIGA!G137="",BUNDESLIGA!H137=""),"",IF(BUNDESLIGA!G137&lt;BUNDESLIGA!H137,"",IF(BUNDESLIGA!G137&gt;BUNDESLIGA!H137,"","")))</f>
        <v>SC Freiburg</v>
      </c>
      <c r="N29" s="161" t="str">
        <f>IF(BUNDESLIGA!G137&lt;&gt;"",BUNDESLIGA!G137&amp;" - "&amp;BUNDESLIGA!H137,"")</f>
        <v>4 - 2</v>
      </c>
      <c r="O29" s="162"/>
      <c r="Q29" s="63"/>
      <c r="R29" s="63"/>
      <c r="S29" s="63"/>
      <c r="T29" s="63"/>
    </row>
    <row r="30" spans="2:20" x14ac:dyDescent="0.25">
      <c r="B30" s="71" t="str">
        <f>BUNDESLIGA!F28&amp;IF(OR(BUNDESLIGA!G28="",BUNDESLIGA!H28=""),"",IF(BUNDESLIGA!G28&gt;BUNDESLIGA!H28,"",IF(BUNDESLIGA!G28&lt;BUNDESLIGA!H28,"","")))</f>
        <v>Bayer Leverkusen</v>
      </c>
      <c r="C30" s="72" t="str">
        <f>BUNDESLIGA!I28&amp;IF(OR(BUNDESLIGA!G28="",BUNDESLIGA!H28=""),"",IF(BUNDESLIGA!G28&lt;BUNDESLIGA!H28,"",IF(BUNDESLIGA!G28&gt;BUNDESLIGA!H28,"","")))</f>
        <v>1899 Hoffenheim</v>
      </c>
      <c r="D30" s="161" t="str">
        <f>IF(BUNDESLIGA!G28&lt;&gt;"",BUNDESLIGA!G28&amp;" - "&amp;BUNDESLIGA!H28,"")</f>
        <v>0 - 0</v>
      </c>
      <c r="E30" s="162"/>
      <c r="G30" s="71" t="str">
        <f>BUNDESLIGA!F83&amp;IF(OR(BUNDESLIGA!G83="",BUNDESLIGA!H83=""),"",IF(BUNDESLIGA!G83&gt;BUNDESLIGA!H83,"",IF(BUNDESLIGA!G83&lt;BUNDESLIGA!H83,"","")))</f>
        <v>Eintracht Frankfurt</v>
      </c>
      <c r="H30" s="72" t="str">
        <f>BUNDESLIGA!I83&amp;IF(OR(BUNDESLIGA!G83="",BUNDESLIGA!H83=""),"",IF(BUNDESLIGA!G83&lt;BUNDESLIGA!H83,"",IF(BUNDESLIGA!G83&gt;BUNDESLIGA!H83,"","")))</f>
        <v>Bayer Leverkusen</v>
      </c>
      <c r="I30" s="161" t="str">
        <f>IF(BUNDESLIGA!G83&lt;&gt;"",BUNDESLIGA!G83&amp;" - "&amp;BUNDESLIGA!H83,"")</f>
        <v>3 - 0</v>
      </c>
      <c r="J30" s="162"/>
      <c r="L30" s="71" t="str">
        <f>BUNDESLIGA!F138&amp;IF(OR(BUNDESLIGA!G138="",BUNDESLIGA!H138=""),"",IF(BUNDESLIGA!G138&gt;BUNDESLIGA!H138,"",IF(BUNDESLIGA!G138&lt;BUNDESLIGA!H138,"","")))</f>
        <v>VfL Wolfsburg</v>
      </c>
      <c r="M30" s="72" t="str">
        <f>BUNDESLIGA!I138&amp;IF(OR(BUNDESLIGA!G138="",BUNDESLIGA!H138=""),"",IF(BUNDESLIGA!G138&lt;BUNDESLIGA!H138,"",IF(BUNDESLIGA!G138&gt;BUNDESLIGA!H138,"","")))</f>
        <v>Werder Bremen</v>
      </c>
      <c r="N30" s="161" t="str">
        <f>IF(BUNDESLIGA!G138&lt;&gt;"",BUNDESLIGA!G138&amp;" - "&amp;BUNDESLIGA!H138,"")</f>
        <v>2 - 3</v>
      </c>
      <c r="O30" s="162"/>
      <c r="Q30" s="63"/>
      <c r="R30" s="63"/>
      <c r="S30" s="63"/>
      <c r="T30" s="63"/>
    </row>
    <row r="31" spans="2:20" x14ac:dyDescent="0.25">
      <c r="B31" s="71" t="str">
        <f>BUNDESLIGA!F29&amp;IF(OR(BUNDESLIGA!G29="",BUNDESLIGA!H29=""),"",IF(BUNDESLIGA!G29&gt;BUNDESLIGA!H29,"",IF(BUNDESLIGA!G29&lt;BUNDESLIGA!H29,"","")))</f>
        <v>VfL Wolfsburg</v>
      </c>
      <c r="C31" s="72" t="str">
        <f>BUNDESLIGA!I29&amp;IF(OR(BUNDESLIGA!G29="",BUNDESLIGA!H29=""),"",IF(BUNDESLIGA!G29&lt;BUNDESLIGA!H29,"",IF(BUNDESLIGA!G29&gt;BUNDESLIGA!H29,"","")))</f>
        <v>SC Paderborn 07</v>
      </c>
      <c r="D31" s="161" t="str">
        <f>IF(BUNDESLIGA!G29&lt;&gt;"",BUNDESLIGA!G29&amp;" - "&amp;BUNDESLIGA!H29,"")</f>
        <v>1 - 1</v>
      </c>
      <c r="E31" s="162"/>
      <c r="G31" s="71" t="str">
        <f>BUNDESLIGA!F84&amp;IF(OR(BUNDESLIGA!G84="",BUNDESLIGA!H84=""),"",IF(BUNDESLIGA!G84&gt;BUNDESLIGA!H84,"",IF(BUNDESLIGA!G84&lt;BUNDESLIGA!H84,"","")))</f>
        <v>Werder Bremen</v>
      </c>
      <c r="H31" s="72" t="str">
        <f>BUNDESLIGA!I84&amp;IF(OR(BUNDESLIGA!G84="",BUNDESLIGA!H84=""),"",IF(BUNDESLIGA!G84&lt;BUNDESLIGA!H84,"",IF(BUNDESLIGA!G84&gt;BUNDESLIGA!H84,"","")))</f>
        <v>Hertha BSC</v>
      </c>
      <c r="I31" s="161" t="str">
        <f>IF(BUNDESLIGA!G84&lt;&gt;"",BUNDESLIGA!G84&amp;" - "&amp;BUNDESLIGA!H84,"")</f>
        <v>1 - 1</v>
      </c>
      <c r="J31" s="162"/>
      <c r="L31" s="71" t="str">
        <f>BUNDESLIGA!F139&amp;IF(OR(BUNDESLIGA!G139="",BUNDESLIGA!H139=""),"",IF(BUNDESLIGA!G139&gt;BUNDESLIGA!H139,"",IF(BUNDESLIGA!G139&lt;BUNDESLIGA!H139,"","")))</f>
        <v>1899 Hoffenheim</v>
      </c>
      <c r="M31" s="72" t="str">
        <f>BUNDESLIGA!I139&amp;IF(OR(BUNDESLIGA!G139="",BUNDESLIGA!H139=""),"",IF(BUNDESLIGA!G139&lt;BUNDESLIGA!H139,"",IF(BUNDESLIGA!G139&gt;BUNDESLIGA!H139,"","")))</f>
        <v>Fortuna Düsseldorf</v>
      </c>
      <c r="N31" s="161" t="str">
        <f>IF(BUNDESLIGA!G139&lt;&gt;"",BUNDESLIGA!G139&amp;" - "&amp;BUNDESLIGA!H139,"")</f>
        <v>1 - 1</v>
      </c>
      <c r="O31" s="162"/>
      <c r="Q31" s="63"/>
      <c r="R31" s="63"/>
      <c r="S31" s="63"/>
      <c r="T31" s="63"/>
    </row>
    <row r="32" spans="2:20" x14ac:dyDescent="0.25">
      <c r="B32" s="71" t="str">
        <f>BUNDESLIGA!F30&amp;IF(OR(BUNDESLIGA!G30="",BUNDESLIGA!H30=""),"",IF(BUNDESLIGA!G30&gt;BUNDESLIGA!H30,"",IF(BUNDESLIGA!G30&lt;BUNDESLIGA!H30,"","")))</f>
        <v>SC Freiburg</v>
      </c>
      <c r="C32" s="72" t="str">
        <f>BUNDESLIGA!I30&amp;IF(OR(BUNDESLIGA!G30="",BUNDESLIGA!H30=""),"",IF(BUNDESLIGA!G30&lt;BUNDESLIGA!H30,"",IF(BUNDESLIGA!G30&gt;BUNDESLIGA!H30,"","")))</f>
        <v>1. FC Köln</v>
      </c>
      <c r="D32" s="161" t="str">
        <f>IF(BUNDESLIGA!G30&lt;&gt;"",BUNDESLIGA!G30&amp;" - "&amp;BUNDESLIGA!H30,"")</f>
        <v>1 - 2</v>
      </c>
      <c r="E32" s="162"/>
      <c r="G32" s="71" t="str">
        <f>BUNDESLIGA!F85&amp;IF(OR(BUNDESLIGA!G85="",BUNDESLIGA!H85=""),"",IF(BUNDESLIGA!G85&gt;BUNDESLIGA!H85,"",IF(BUNDESLIGA!G85&lt;BUNDESLIGA!H85,"","")))</f>
        <v>1899 Hoffenheim</v>
      </c>
      <c r="H32" s="72" t="str">
        <f>BUNDESLIGA!I85&amp;IF(OR(BUNDESLIGA!G85="",BUNDESLIGA!H85=""),"",IF(BUNDESLIGA!G85&lt;BUNDESLIGA!H85,"",IF(BUNDESLIGA!G85&gt;BUNDESLIGA!H85,"","")))</f>
        <v>FC Schalke 04</v>
      </c>
      <c r="I32" s="161" t="str">
        <f>IF(BUNDESLIGA!G85&lt;&gt;"",BUNDESLIGA!G85&amp;" - "&amp;BUNDESLIGA!H85,"")</f>
        <v>2 - 0</v>
      </c>
      <c r="J32" s="162"/>
      <c r="L32" s="71" t="str">
        <f>BUNDESLIGA!F140&amp;IF(OR(BUNDESLIGA!G140="",BUNDESLIGA!H140=""),"",IF(BUNDESLIGA!G140&gt;BUNDESLIGA!H140,"",IF(BUNDESLIGA!G140&lt;BUNDESLIGA!H140,"","")))</f>
        <v>Hertha BSC</v>
      </c>
      <c r="M32" s="72" t="str">
        <f>BUNDESLIGA!I140&amp;IF(OR(BUNDESLIGA!G140="",BUNDESLIGA!H140=""),"",IF(BUNDESLIGA!G140&lt;BUNDESLIGA!H140,"",IF(BUNDESLIGA!G140&gt;BUNDESLIGA!H140,"","")))</f>
        <v>Borussia Dortmund</v>
      </c>
      <c r="N32" s="161" t="str">
        <f>IF(BUNDESLIGA!G140&lt;&gt;"",BUNDESLIGA!G140&amp;" - "&amp;BUNDESLIGA!H140,"")</f>
        <v>1 - 2</v>
      </c>
      <c r="O32" s="162"/>
      <c r="Q32" s="63"/>
      <c r="R32" s="63"/>
      <c r="S32" s="63"/>
      <c r="T32" s="63"/>
    </row>
    <row r="33" spans="2:20" x14ac:dyDescent="0.25">
      <c r="B33" s="71" t="str">
        <f>BUNDESLIGA!F31&amp;IF(OR(BUNDESLIGA!G31="",BUNDESLIGA!H31=""),"",IF(BUNDESLIGA!G31&gt;BUNDESLIGA!H31,"",IF(BUNDESLIGA!G31&lt;BUNDESLIGA!H31,"","")))</f>
        <v>FC Schalke 04</v>
      </c>
      <c r="C33" s="72" t="str">
        <f>BUNDESLIGA!I31&amp;IF(OR(BUNDESLIGA!G31="",BUNDESLIGA!H31=""),"",IF(BUNDESLIGA!G31&lt;BUNDESLIGA!H31,"",IF(BUNDESLIGA!G31&gt;BUNDESLIGA!H31,"","")))</f>
        <v>Hertha BSC</v>
      </c>
      <c r="D33" s="161" t="str">
        <f>IF(BUNDESLIGA!G31&lt;&gt;"",BUNDESLIGA!G31&amp;" - "&amp;BUNDESLIGA!H31,"")</f>
        <v>3 - 0</v>
      </c>
      <c r="E33" s="162"/>
      <c r="G33" s="71" t="str">
        <f>BUNDESLIGA!F86&amp;IF(OR(BUNDESLIGA!G86="",BUNDESLIGA!H86=""),"",IF(BUNDESLIGA!G86&gt;BUNDESLIGA!H86,"",IF(BUNDESLIGA!G86&lt;BUNDESLIGA!H86,"","")))</f>
        <v>Fortuna Düsseldorf</v>
      </c>
      <c r="H33" s="72" t="str">
        <f>BUNDESLIGA!I86&amp;IF(OR(BUNDESLIGA!G86="",BUNDESLIGA!H86=""),"",IF(BUNDESLIGA!G86&lt;BUNDESLIGA!H86,"",IF(BUNDESLIGA!G86&gt;BUNDESLIGA!H86,"","")))</f>
        <v>1. FSV Mainz 05</v>
      </c>
      <c r="I33" s="161" t="str">
        <f>IF(BUNDESLIGA!G86&lt;&gt;"",BUNDESLIGA!G86&amp;" - "&amp;BUNDESLIGA!H86,"")</f>
        <v>1 - 0</v>
      </c>
      <c r="J33" s="162"/>
      <c r="L33" s="71" t="str">
        <f>BUNDESLIGA!F141&amp;IF(OR(BUNDESLIGA!G141="",BUNDESLIGA!H141=""),"",IF(BUNDESLIGA!G141&gt;BUNDESLIGA!H141,"",IF(BUNDESLIGA!G141&lt;BUNDESLIGA!H141,"","")))</f>
        <v>1. FSV Mainz 05</v>
      </c>
      <c r="M33" s="72" t="str">
        <f>BUNDESLIGA!I141&amp;IF(OR(BUNDESLIGA!G141="",BUNDESLIGA!H141=""),"",IF(BUNDESLIGA!G141&lt;BUNDESLIGA!H141,"",IF(BUNDESLIGA!G141&gt;BUNDESLIGA!H141,"","")))</f>
        <v>Eintracht Frankfurt</v>
      </c>
      <c r="N33" s="161" t="str">
        <f>IF(BUNDESLIGA!G141&lt;&gt;"",BUNDESLIGA!G141&amp;" - "&amp;BUNDESLIGA!H141,"")</f>
        <v>2 - 1</v>
      </c>
      <c r="O33" s="162"/>
      <c r="Q33" s="63"/>
      <c r="R33" s="63"/>
      <c r="S33" s="63"/>
      <c r="T33" s="63"/>
    </row>
    <row r="34" spans="2:20" x14ac:dyDescent="0.25">
      <c r="B34" s="71" t="str">
        <f>BUNDESLIGA!F32&amp;IF(OR(BUNDESLIGA!G32="",BUNDESLIGA!H32=""),"",IF(BUNDESLIGA!G32&gt;BUNDESLIGA!H32,"",IF(BUNDESLIGA!G32&lt;BUNDESLIGA!H32,"","")))</f>
        <v>1. FC Union Berlin</v>
      </c>
      <c r="C34" s="72" t="str">
        <f>BUNDESLIGA!I32&amp;IF(OR(BUNDESLIGA!G32="",BUNDESLIGA!H32=""),"",IF(BUNDESLIGA!G32&lt;BUNDESLIGA!H32,"",IF(BUNDESLIGA!G32&gt;BUNDESLIGA!H32,"","")))</f>
        <v>Borussia Dortmund</v>
      </c>
      <c r="D34" s="161" t="str">
        <f>IF(BUNDESLIGA!G32&lt;&gt;"",BUNDESLIGA!G32&amp;" - "&amp;BUNDESLIGA!H32,"")</f>
        <v>3 - 1</v>
      </c>
      <c r="E34" s="162"/>
      <c r="G34" s="71" t="str">
        <f>BUNDESLIGA!F87&amp;IF(OR(BUNDESLIGA!G87="",BUNDESLIGA!H87=""),"",IF(BUNDESLIGA!G87&gt;BUNDESLIGA!H87,"",IF(BUNDESLIGA!G87&lt;BUNDESLIGA!H87,"","")))</f>
        <v>FC Augsburg</v>
      </c>
      <c r="H34" s="72" t="str">
        <f>BUNDESLIGA!I87&amp;IF(OR(BUNDESLIGA!G87="",BUNDESLIGA!H87=""),"",IF(BUNDESLIGA!G87&lt;BUNDESLIGA!H87,"",IF(BUNDESLIGA!G87&gt;BUNDESLIGA!H87,"","")))</f>
        <v>Bayern München</v>
      </c>
      <c r="I34" s="161" t="str">
        <f>IF(BUNDESLIGA!G87&lt;&gt;"",BUNDESLIGA!G87&amp;" - "&amp;BUNDESLIGA!H87,"")</f>
        <v>2 - 2</v>
      </c>
      <c r="J34" s="162"/>
      <c r="L34" s="71" t="str">
        <f>BUNDESLIGA!F142&amp;IF(OR(BUNDESLIGA!G142="",BUNDESLIGA!H142=""),"",IF(BUNDESLIGA!G142&gt;BUNDESLIGA!H142,"",IF(BUNDESLIGA!G142&lt;BUNDESLIGA!H142,"","")))</f>
        <v>FC Schalke 04</v>
      </c>
      <c r="M34" s="72" t="str">
        <f>BUNDESLIGA!I142&amp;IF(OR(BUNDESLIGA!G142="",BUNDESLIGA!H142=""),"",IF(BUNDESLIGA!G142&lt;BUNDESLIGA!H142,"",IF(BUNDESLIGA!G142&gt;BUNDESLIGA!H142,"","")))</f>
        <v>1. FC Union Berlin</v>
      </c>
      <c r="N34" s="161" t="str">
        <f>IF(BUNDESLIGA!G142&lt;&gt;"",BUNDESLIGA!G142&amp;" - "&amp;BUNDESLIGA!H142,"")</f>
        <v>2 - 1</v>
      </c>
      <c r="O34" s="162"/>
      <c r="Q34" s="63"/>
      <c r="R34" s="63"/>
      <c r="S34" s="63"/>
      <c r="T34" s="63"/>
    </row>
    <row r="35" spans="2:20" x14ac:dyDescent="0.25">
      <c r="B35" s="71" t="str">
        <f>BUNDESLIGA!F33&amp;IF(OR(BUNDESLIGA!G33="",BUNDESLIGA!H33=""),"",IF(BUNDESLIGA!G33&gt;BUNDESLIGA!H33,"",IF(BUNDESLIGA!G33&lt;BUNDESLIGA!H33,"","")))</f>
        <v>Werder Bremen</v>
      </c>
      <c r="C35" s="72" t="str">
        <f>BUNDESLIGA!I33&amp;IF(OR(BUNDESLIGA!G33="",BUNDESLIGA!H33=""),"",IF(BUNDESLIGA!G33&lt;BUNDESLIGA!H33,"",IF(BUNDESLIGA!G33&gt;BUNDESLIGA!H33,"","")))</f>
        <v>FC Augsburg</v>
      </c>
      <c r="D35" s="161" t="str">
        <f>IF(BUNDESLIGA!G33&lt;&gt;"",BUNDESLIGA!G33&amp;" - "&amp;BUNDESLIGA!H33,"")</f>
        <v>3 - 2</v>
      </c>
      <c r="E35" s="162"/>
      <c r="G35" s="71" t="str">
        <f>BUNDESLIGA!F88&amp;IF(OR(BUNDESLIGA!G88="",BUNDESLIGA!H88=""),"",IF(BUNDESLIGA!G88&gt;BUNDESLIGA!H88,"",IF(BUNDESLIGA!G88&lt;BUNDESLIGA!H88,"","")))</f>
        <v>1. FC Köln</v>
      </c>
      <c r="H35" s="72" t="str">
        <f>BUNDESLIGA!I88&amp;IF(OR(BUNDESLIGA!G88="",BUNDESLIGA!H88=""),"",IF(BUNDESLIGA!G88&lt;BUNDESLIGA!H88,"",IF(BUNDESLIGA!G88&gt;BUNDESLIGA!H88,"","")))</f>
        <v>SC Paderborn 07</v>
      </c>
      <c r="I35" s="161" t="str">
        <f>IF(BUNDESLIGA!G88&lt;&gt;"",BUNDESLIGA!G88&amp;" - "&amp;BUNDESLIGA!H88,"")</f>
        <v>3 - 0</v>
      </c>
      <c r="J35" s="162"/>
      <c r="L35" s="71" t="str">
        <f>BUNDESLIGA!F143&amp;IF(OR(BUNDESLIGA!G143="",BUNDESLIGA!H143=""),"",IF(BUNDESLIGA!G143&gt;BUNDESLIGA!H143,"",IF(BUNDESLIGA!G143&lt;BUNDESLIGA!H143,"","")))</f>
        <v>1. FC Köln</v>
      </c>
      <c r="M35" s="72" t="str">
        <f>BUNDESLIGA!I143&amp;IF(OR(BUNDESLIGA!G143="",BUNDESLIGA!H143=""),"",IF(BUNDESLIGA!G143&lt;BUNDESLIGA!H143,"",IF(BUNDESLIGA!G143&gt;BUNDESLIGA!H143,"","")))</f>
        <v>FC Augsburg</v>
      </c>
      <c r="N35" s="161" t="str">
        <f>IF(BUNDESLIGA!G143&lt;&gt;"",BUNDESLIGA!G143&amp;" - "&amp;BUNDESLIGA!H143,"")</f>
        <v>1 - 1</v>
      </c>
      <c r="O35" s="162"/>
      <c r="Q35" s="63"/>
      <c r="R35" s="63"/>
      <c r="S35" s="63"/>
      <c r="T35" s="63"/>
    </row>
    <row r="36" spans="2:20" x14ac:dyDescent="0.25">
      <c r="B36" s="71" t="str">
        <f>BUNDESLIGA!F34&amp;IF(OR(BUNDESLIGA!G34="",BUNDESLIGA!H34=""),"",IF(BUNDESLIGA!G34&gt;BUNDESLIGA!H34,"",IF(BUNDESLIGA!G34&lt;BUNDESLIGA!H34,"","")))</f>
        <v>Eintracht Frankfurt</v>
      </c>
      <c r="C36" s="72" t="str">
        <f>BUNDESLIGA!I34&amp;IF(OR(BUNDESLIGA!G34="",BUNDESLIGA!H34=""),"",IF(BUNDESLIGA!G34&lt;BUNDESLIGA!H34,"",IF(BUNDESLIGA!G34&gt;BUNDESLIGA!H34,"","")))</f>
        <v>Fortuna Düsseldorf</v>
      </c>
      <c r="D36" s="161" t="str">
        <f>IF(BUNDESLIGA!G34&lt;&gt;"",BUNDESLIGA!G34&amp;" - "&amp;BUNDESLIGA!H34,"")</f>
        <v>2 - 1</v>
      </c>
      <c r="E36" s="162"/>
      <c r="G36" s="71" t="str">
        <f>BUNDESLIGA!F89&amp;IF(OR(BUNDESLIGA!G89="",BUNDESLIGA!H89=""),"",IF(BUNDESLIGA!G89&gt;BUNDESLIGA!H89,"",IF(BUNDESLIGA!G89&lt;BUNDESLIGA!H89,"","")))</f>
        <v>1. FC Union Berlin</v>
      </c>
      <c r="H36" s="72" t="str">
        <f>BUNDESLIGA!I89&amp;IF(OR(BUNDESLIGA!G89="",BUNDESLIGA!H89=""),"",IF(BUNDESLIGA!G89&lt;BUNDESLIGA!H89,"",IF(BUNDESLIGA!G89&gt;BUNDESLIGA!H89,"","")))</f>
        <v>SC Freiburg</v>
      </c>
      <c r="I36" s="161" t="str">
        <f>IF(BUNDESLIGA!G89&lt;&gt;"",BUNDESLIGA!G89&amp;" - "&amp;BUNDESLIGA!H89,"")</f>
        <v>2 - 0</v>
      </c>
      <c r="J36" s="162"/>
      <c r="L36" s="71" t="str">
        <f>BUNDESLIGA!F144&amp;IF(OR(BUNDESLIGA!G144="",BUNDESLIGA!H144=""),"",IF(BUNDESLIGA!G144&gt;BUNDESLIGA!H144,"",IF(BUNDESLIGA!G144&lt;BUNDESLIGA!H144,"","")))</f>
        <v>SC Paderborn 07</v>
      </c>
      <c r="M36" s="72" t="str">
        <f>BUNDESLIGA!I144&amp;IF(OR(BUNDESLIGA!G144="",BUNDESLIGA!H144=""),"",IF(BUNDESLIGA!G144&lt;BUNDESLIGA!H144,"",IF(BUNDESLIGA!G144&gt;BUNDESLIGA!H144,"","")))</f>
        <v>RB Leipzig</v>
      </c>
      <c r="N36" s="161" t="str">
        <f>IF(BUNDESLIGA!G144&lt;&gt;"",BUNDESLIGA!G144&amp;" - "&amp;BUNDESLIGA!H144,"")</f>
        <v>2 - 3</v>
      </c>
      <c r="O36" s="162"/>
      <c r="Q36" s="63"/>
      <c r="R36" s="63"/>
      <c r="S36" s="63"/>
      <c r="T36" s="63"/>
    </row>
    <row r="37" spans="2:20" x14ac:dyDescent="0.25">
      <c r="B37" s="60"/>
      <c r="C37" s="60"/>
      <c r="G37" s="60"/>
      <c r="H37" s="60"/>
      <c r="L37" s="60"/>
      <c r="M37" s="60"/>
      <c r="Q37" s="63"/>
      <c r="R37" s="63"/>
      <c r="S37" s="63"/>
      <c r="T37" s="63"/>
    </row>
    <row r="38" spans="2:20" x14ac:dyDescent="0.25">
      <c r="B38" s="158" t="s">
        <v>152</v>
      </c>
      <c r="C38" s="159"/>
      <c r="D38" s="159"/>
      <c r="E38" s="160"/>
      <c r="G38" s="158" t="s">
        <v>150</v>
      </c>
      <c r="H38" s="159"/>
      <c r="I38" s="159"/>
      <c r="J38" s="160"/>
      <c r="L38" s="158" t="s">
        <v>53</v>
      </c>
      <c r="M38" s="159"/>
      <c r="N38" s="159"/>
      <c r="O38" s="160"/>
      <c r="Q38" s="163"/>
      <c r="R38" s="163"/>
      <c r="S38" s="163"/>
      <c r="T38" s="163"/>
    </row>
    <row r="39" spans="2:20" x14ac:dyDescent="0.25">
      <c r="B39" s="71" t="str">
        <f>BUNDESLIGA!F37&amp;IF(OR(BUNDESLIGA!G37="",BUNDESLIGA!H37=""),"",IF(BUNDESLIGA!G37&gt;BUNDESLIGA!H37,"",IF(BUNDESLIGA!G37&lt;BUNDESLIGA!H37,"","")))</f>
        <v>Fortuna Düsseldorf</v>
      </c>
      <c r="C39" s="72" t="str">
        <f>BUNDESLIGA!I37&amp;IF(OR(BUNDESLIGA!G37="",BUNDESLIGA!H37=""),"",IF(BUNDESLIGA!G37&lt;BUNDESLIGA!H37,"",IF(BUNDESLIGA!G37&gt;BUNDESLIGA!H37,"","")))</f>
        <v>VfL Wolfsburg</v>
      </c>
      <c r="D39" s="161" t="str">
        <f>IF(BUNDESLIGA!G37&lt;&gt;"",BUNDESLIGA!G37&amp;" - "&amp;BUNDESLIGA!H37,"")</f>
        <v>1 - 1</v>
      </c>
      <c r="E39" s="162"/>
      <c r="G39" s="71" t="str">
        <f>BUNDESLIGA!F92&amp;IF(OR(BUNDESLIGA!G92="",BUNDESLIGA!H92=""),"",IF(BUNDESLIGA!G92&gt;BUNDESLIGA!H92,"",IF(BUNDESLIGA!G92&lt;BUNDESLIGA!H92,"","")))</f>
        <v>Bayern München</v>
      </c>
      <c r="H39" s="72" t="str">
        <f>BUNDESLIGA!I92&amp;IF(OR(BUNDESLIGA!G92="",BUNDESLIGA!H92=""),"",IF(BUNDESLIGA!G92&lt;BUNDESLIGA!H92,"",IF(BUNDESLIGA!G92&gt;BUNDESLIGA!H92,"","")))</f>
        <v>1. FC Union Berlin</v>
      </c>
      <c r="I39" s="161" t="str">
        <f>IF(BUNDESLIGA!G92&lt;&gt;"",BUNDESLIGA!G92&amp;" - "&amp;BUNDESLIGA!H92,"")</f>
        <v>2 - 1</v>
      </c>
      <c r="J39" s="162"/>
      <c r="L39" s="71" t="str">
        <f>BUNDESLIGA!F147&amp;IF(OR(BUNDESLIGA!G147="",BUNDESLIGA!H147=""),"",IF(BUNDESLIGA!G147&gt;BUNDESLIGA!H147,"",IF(BUNDESLIGA!G147&lt;BUNDESLIGA!H147,"","")))</f>
        <v>Borussia Dortmund</v>
      </c>
      <c r="M39" s="72" t="str">
        <f>BUNDESLIGA!I147&amp;IF(OR(BUNDESLIGA!G147="",BUNDESLIGA!H147=""),"",IF(BUNDESLIGA!G147&lt;BUNDESLIGA!H147,"",IF(BUNDESLIGA!G147&gt;BUNDESLIGA!H147,"","")))</f>
        <v>Fortuna Düsseldorf</v>
      </c>
      <c r="N39" s="161" t="str">
        <f>IF(BUNDESLIGA!G147&lt;&gt;"",BUNDESLIGA!G147&amp;" - "&amp;BUNDESLIGA!H147,"")</f>
        <v>5 - 0</v>
      </c>
      <c r="O39" s="162"/>
      <c r="Q39" s="63"/>
      <c r="R39" s="63"/>
      <c r="S39" s="63"/>
      <c r="T39" s="63"/>
    </row>
    <row r="40" spans="2:20" x14ac:dyDescent="0.25">
      <c r="B40" s="71" t="str">
        <f>BUNDESLIGA!F38&amp;IF(OR(BUNDESLIGA!G38="",BUNDESLIGA!H38=""),"",IF(BUNDESLIGA!G38&gt;BUNDESLIGA!H38,"",IF(BUNDESLIGA!G38&lt;BUNDESLIGA!H38,"","")))</f>
        <v>Borussia Dortmund</v>
      </c>
      <c r="C40" s="72" t="str">
        <f>BUNDESLIGA!I38&amp;IF(OR(BUNDESLIGA!G38="",BUNDESLIGA!H38=""),"",IF(BUNDESLIGA!G38&lt;BUNDESLIGA!H38,"",IF(BUNDESLIGA!G38&gt;BUNDESLIGA!H38,"","")))</f>
        <v>Bayer Leverkusen</v>
      </c>
      <c r="D40" s="161" t="str">
        <f>IF(BUNDESLIGA!G38&lt;&gt;"",BUNDESLIGA!G38&amp;" - "&amp;BUNDESLIGA!H38,"")</f>
        <v>4 - 0</v>
      </c>
      <c r="E40" s="162"/>
      <c r="G40" s="71" t="str">
        <f>BUNDESLIGA!F93&amp;IF(OR(BUNDESLIGA!G93="",BUNDESLIGA!H93=""),"",IF(BUNDESLIGA!G93&gt;BUNDESLIGA!H93,"",IF(BUNDESLIGA!G93&lt;BUNDESLIGA!H93,"","")))</f>
        <v>Bayer Leverkusen</v>
      </c>
      <c r="H40" s="72" t="str">
        <f>BUNDESLIGA!I93&amp;IF(OR(BUNDESLIGA!G93="",BUNDESLIGA!H93=""),"",IF(BUNDESLIGA!G93&lt;BUNDESLIGA!H93,"",IF(BUNDESLIGA!G93&gt;BUNDESLIGA!H93,"","")))</f>
        <v>Werder Bremen</v>
      </c>
      <c r="I40" s="161" t="str">
        <f>IF(BUNDESLIGA!G93&lt;&gt;"",BUNDESLIGA!G93&amp;" - "&amp;BUNDESLIGA!H93,"")</f>
        <v>2 - 2</v>
      </c>
      <c r="J40" s="162"/>
      <c r="L40" s="71" t="str">
        <f>BUNDESLIGA!F148&amp;IF(OR(BUNDESLIGA!G148="",BUNDESLIGA!H148=""),"",IF(BUNDESLIGA!G148&gt;BUNDESLIGA!H148,"",IF(BUNDESLIGA!G148&lt;BUNDESLIGA!H148,"","")))</f>
        <v>RB Leipzig</v>
      </c>
      <c r="M40" s="72" t="str">
        <f>BUNDESLIGA!I148&amp;IF(OR(BUNDESLIGA!G148="",BUNDESLIGA!H148=""),"",IF(BUNDESLIGA!G148&lt;BUNDESLIGA!H148,"",IF(BUNDESLIGA!G148&gt;BUNDESLIGA!H148,"","")))</f>
        <v>1899 Hoffenheim</v>
      </c>
      <c r="N40" s="161" t="str">
        <f>IF(BUNDESLIGA!G148&lt;&gt;"",BUNDESLIGA!G148&amp;" - "&amp;BUNDESLIGA!H148,"")</f>
        <v>3 - 1</v>
      </c>
      <c r="O40" s="162"/>
      <c r="Q40" s="63"/>
      <c r="R40" s="63"/>
      <c r="S40" s="63"/>
      <c r="T40" s="63"/>
    </row>
    <row r="41" spans="2:20" x14ac:dyDescent="0.25">
      <c r="B41" s="71" t="str">
        <f>BUNDESLIGA!F39&amp;IF(OR(BUNDESLIGA!G39="",BUNDESLIGA!H39=""),"",IF(BUNDESLIGA!G39&gt;BUNDESLIGA!H39,"",IF(BUNDESLIGA!G39&lt;BUNDESLIGA!H39,"","")))</f>
        <v>1. FSV Mainz 05</v>
      </c>
      <c r="C41" s="72" t="str">
        <f>BUNDESLIGA!I39&amp;IF(OR(BUNDESLIGA!G39="",BUNDESLIGA!H39=""),"",IF(BUNDESLIGA!G39&lt;BUNDESLIGA!H39,"",IF(BUNDESLIGA!G39&gt;BUNDESLIGA!H39,"","")))</f>
        <v>Hertha BSC</v>
      </c>
      <c r="D41" s="161" t="str">
        <f>IF(BUNDESLIGA!G39&lt;&gt;"",BUNDESLIGA!G39&amp;" - "&amp;BUNDESLIGA!H39,"")</f>
        <v>2 - 1</v>
      </c>
      <c r="E41" s="162"/>
      <c r="G41" s="71" t="str">
        <f>BUNDESLIGA!F94&amp;IF(OR(BUNDESLIGA!G94="",BUNDESLIGA!H94=""),"",IF(BUNDESLIGA!G94&gt;BUNDESLIGA!H94,"",IF(BUNDESLIGA!G94&lt;BUNDESLIGA!H94,"","")))</f>
        <v>Bor. Mönchengladbach</v>
      </c>
      <c r="H41" s="72" t="str">
        <f>BUNDESLIGA!I94&amp;IF(OR(BUNDESLIGA!G94="",BUNDESLIGA!H94=""),"",IF(BUNDESLIGA!G94&lt;BUNDESLIGA!H94,"",IF(BUNDESLIGA!G94&gt;BUNDESLIGA!H94,"","")))</f>
        <v>Eintracht Frankfurt</v>
      </c>
      <c r="I41" s="161" t="str">
        <f>IF(BUNDESLIGA!G94&lt;&gt;"",BUNDESLIGA!G94&amp;" - "&amp;BUNDESLIGA!H94,"")</f>
        <v>4 - 2</v>
      </c>
      <c r="J41" s="162"/>
      <c r="L41" s="71" t="str">
        <f>BUNDESLIGA!F149&amp;IF(OR(BUNDESLIGA!G149="",BUNDESLIGA!H149=""),"",IF(BUNDESLIGA!G149&gt;BUNDESLIGA!H149,"",IF(BUNDESLIGA!G149&lt;BUNDESLIGA!H149,"","")))</f>
        <v>Bayer Leverkusen</v>
      </c>
      <c r="M41" s="72" t="str">
        <f>BUNDESLIGA!I149&amp;IF(OR(BUNDESLIGA!G149="",BUNDESLIGA!H149=""),"",IF(BUNDESLIGA!G149&lt;BUNDESLIGA!H149,"",IF(BUNDESLIGA!G149&gt;BUNDESLIGA!H149,"","")))</f>
        <v>FC Schalke 04</v>
      </c>
      <c r="N41" s="161" t="str">
        <f>IF(BUNDESLIGA!G149&lt;&gt;"",BUNDESLIGA!G149&amp;" - "&amp;BUNDESLIGA!H149,"")</f>
        <v>2 - 1</v>
      </c>
      <c r="O41" s="162"/>
      <c r="Q41" s="63"/>
      <c r="R41" s="63"/>
      <c r="S41" s="63"/>
      <c r="T41" s="63"/>
    </row>
    <row r="42" spans="2:20" x14ac:dyDescent="0.25">
      <c r="B42" s="71" t="str">
        <f>BUNDESLIGA!F40&amp;IF(OR(BUNDESLIGA!G40="",BUNDESLIGA!H40=""),"",IF(BUNDESLIGA!G40&gt;BUNDESLIGA!H40,"",IF(BUNDESLIGA!G40&lt;BUNDESLIGA!H40,"","")))</f>
        <v>FC Augsburg</v>
      </c>
      <c r="C42" s="72" t="str">
        <f>BUNDESLIGA!I40&amp;IF(OR(BUNDESLIGA!G40="",BUNDESLIGA!H40=""),"",IF(BUNDESLIGA!G40&lt;BUNDESLIGA!H40,"",IF(BUNDESLIGA!G40&gt;BUNDESLIGA!H40,"","")))</f>
        <v>Eintracht Frankfurt</v>
      </c>
      <c r="D42" s="161" t="str">
        <f>IF(BUNDESLIGA!G40&lt;&gt;"",BUNDESLIGA!G40&amp;" - "&amp;BUNDESLIGA!H40,"")</f>
        <v>2 - 1</v>
      </c>
      <c r="E42" s="162"/>
      <c r="G42" s="71" t="str">
        <f>BUNDESLIGA!F95&amp;IF(OR(BUNDESLIGA!G95="",BUNDESLIGA!H95=""),"",IF(BUNDESLIGA!G95&gt;BUNDESLIGA!H95,"",IF(BUNDESLIGA!G95&lt;BUNDESLIGA!H95,"","")))</f>
        <v>VfL Wolfsburg</v>
      </c>
      <c r="H42" s="72" t="str">
        <f>BUNDESLIGA!I95&amp;IF(OR(BUNDESLIGA!G95="",BUNDESLIGA!H95=""),"",IF(BUNDESLIGA!G95&lt;BUNDESLIGA!H95,"",IF(BUNDESLIGA!G95&gt;BUNDESLIGA!H95,"","")))</f>
        <v>FC Augsburg</v>
      </c>
      <c r="I42" s="161" t="str">
        <f>IF(BUNDESLIGA!G95&lt;&gt;"",BUNDESLIGA!G95&amp;" - "&amp;BUNDESLIGA!H95,"")</f>
        <v>0 - 0</v>
      </c>
      <c r="J42" s="162"/>
      <c r="L42" s="71" t="str">
        <f>BUNDESLIGA!F150&amp;IF(OR(BUNDESLIGA!G150="",BUNDESLIGA!H150=""),"",IF(BUNDESLIGA!G150&gt;BUNDESLIGA!H150,"",IF(BUNDESLIGA!G150&lt;BUNDESLIGA!H150,"","")))</f>
        <v>Bor. Mönchengladbach</v>
      </c>
      <c r="M42" s="72" t="str">
        <f>BUNDESLIGA!I150&amp;IF(OR(BUNDESLIGA!G150="",BUNDESLIGA!H150=""),"",IF(BUNDESLIGA!G150&lt;BUNDESLIGA!H150,"",IF(BUNDESLIGA!G150&gt;BUNDESLIGA!H150,"","")))</f>
        <v>Bayern München</v>
      </c>
      <c r="N42" s="161" t="str">
        <f>IF(BUNDESLIGA!G150&lt;&gt;"",BUNDESLIGA!G150&amp;" - "&amp;BUNDESLIGA!H150,"")</f>
        <v>2 - 1</v>
      </c>
      <c r="O42" s="162"/>
      <c r="Q42" s="63"/>
      <c r="R42" s="63"/>
      <c r="S42" s="63"/>
      <c r="T42" s="63"/>
    </row>
    <row r="43" spans="2:20" x14ac:dyDescent="0.25">
      <c r="B43" s="71" t="str">
        <f>BUNDESLIGA!F41&amp;IF(OR(BUNDESLIGA!G41="",BUNDESLIGA!H41=""),"",IF(BUNDESLIGA!G41&gt;BUNDESLIGA!H41,"",IF(BUNDESLIGA!G41&lt;BUNDESLIGA!H41,"","")))</f>
        <v>1. FC Köln</v>
      </c>
      <c r="C43" s="72" t="str">
        <f>BUNDESLIGA!I41&amp;IF(OR(BUNDESLIGA!G41="",BUNDESLIGA!H41=""),"",IF(BUNDESLIGA!G41&lt;BUNDESLIGA!H41,"",IF(BUNDESLIGA!G41&gt;BUNDESLIGA!H41,"","")))</f>
        <v>Bor. Mönchengladbach</v>
      </c>
      <c r="D43" s="161" t="str">
        <f>IF(BUNDESLIGA!G41&lt;&gt;"",BUNDESLIGA!G41&amp;" - "&amp;BUNDESLIGA!H41,"")</f>
        <v>0 - 1</v>
      </c>
      <c r="E43" s="162"/>
      <c r="G43" s="71" t="str">
        <f>BUNDESLIGA!F96&amp;IF(OR(BUNDESLIGA!G96="",BUNDESLIGA!H96=""),"",IF(BUNDESLIGA!G96&gt;BUNDESLIGA!H96,"",IF(BUNDESLIGA!G96&lt;BUNDESLIGA!H96,"","")))</f>
        <v>Hertha BSC</v>
      </c>
      <c r="H43" s="72" t="str">
        <f>BUNDESLIGA!I96&amp;IF(OR(BUNDESLIGA!G96="",BUNDESLIGA!H96=""),"",IF(BUNDESLIGA!G96&lt;BUNDESLIGA!H96,"",IF(BUNDESLIGA!G96&gt;BUNDESLIGA!H96,"","")))</f>
        <v>1899 Hoffenheim</v>
      </c>
      <c r="I43" s="161" t="str">
        <f>IF(BUNDESLIGA!G96&lt;&gt;"",BUNDESLIGA!G96&amp;" - "&amp;BUNDESLIGA!H96,"")</f>
        <v>2 - 3</v>
      </c>
      <c r="J43" s="162"/>
      <c r="L43" s="71" t="str">
        <f>BUNDESLIGA!F151&amp;IF(OR(BUNDESLIGA!G151="",BUNDESLIGA!H151=""),"",IF(BUNDESLIGA!G151&gt;BUNDESLIGA!H151,"",IF(BUNDESLIGA!G151&lt;BUNDESLIGA!H151,"","")))</f>
        <v>Eintracht Frankfurt</v>
      </c>
      <c r="M43" s="72" t="str">
        <f>BUNDESLIGA!I151&amp;IF(OR(BUNDESLIGA!G151="",BUNDESLIGA!H151=""),"",IF(BUNDESLIGA!G151&lt;BUNDESLIGA!H151,"",IF(BUNDESLIGA!G151&gt;BUNDESLIGA!H151,"","")))</f>
        <v>Hertha BSC</v>
      </c>
      <c r="N43" s="161" t="str">
        <f>IF(BUNDESLIGA!G151&lt;&gt;"",BUNDESLIGA!G151&amp;" - "&amp;BUNDESLIGA!H151,"")</f>
        <v>2 - 2</v>
      </c>
      <c r="O43" s="162"/>
      <c r="Q43" s="63"/>
      <c r="R43" s="63"/>
      <c r="S43" s="63"/>
      <c r="T43" s="63"/>
    </row>
    <row r="44" spans="2:20" x14ac:dyDescent="0.25">
      <c r="B44" s="71" t="str">
        <f>BUNDESLIGA!F42&amp;IF(OR(BUNDESLIGA!G42="",BUNDESLIGA!H42=""),"",IF(BUNDESLIGA!G42&gt;BUNDESLIGA!H42,"",IF(BUNDESLIGA!G42&lt;BUNDESLIGA!H42,"","")))</f>
        <v>1. FC Union Berlin</v>
      </c>
      <c r="C44" s="72" t="str">
        <f>BUNDESLIGA!I42&amp;IF(OR(BUNDESLIGA!G42="",BUNDESLIGA!H42=""),"",IF(BUNDESLIGA!G42&lt;BUNDESLIGA!H42,"",IF(BUNDESLIGA!G42&gt;BUNDESLIGA!H42,"","")))</f>
        <v>Werder Bremen</v>
      </c>
      <c r="D44" s="161" t="str">
        <f>IF(BUNDESLIGA!G42&lt;&gt;"",BUNDESLIGA!G42&amp;" - "&amp;BUNDESLIGA!H42,"")</f>
        <v>1 - 2</v>
      </c>
      <c r="E44" s="162"/>
      <c r="G44" s="71" t="str">
        <f>BUNDESLIGA!F97&amp;IF(OR(BUNDESLIGA!G97="",BUNDESLIGA!H97=""),"",IF(BUNDESLIGA!G97&gt;BUNDESLIGA!H97,"",IF(BUNDESLIGA!G97&lt;BUNDESLIGA!H97,"","")))</f>
        <v>1. FSV Mainz 05</v>
      </c>
      <c r="H44" s="72" t="str">
        <f>BUNDESLIGA!I97&amp;IF(OR(BUNDESLIGA!G97="",BUNDESLIGA!H97=""),"",IF(BUNDESLIGA!G97&lt;BUNDESLIGA!H97,"",IF(BUNDESLIGA!G97&gt;BUNDESLIGA!H97,"","")))</f>
        <v>1. FC Köln</v>
      </c>
      <c r="I44" s="161" t="str">
        <f>IF(BUNDESLIGA!G97&lt;&gt;"",BUNDESLIGA!G97&amp;" - "&amp;BUNDESLIGA!H97,"")</f>
        <v>3 - 1</v>
      </c>
      <c r="J44" s="162"/>
      <c r="L44" s="71" t="str">
        <f>BUNDESLIGA!F152&amp;IF(OR(BUNDESLIGA!G152="",BUNDESLIGA!H152=""),"",IF(BUNDESLIGA!G152&gt;BUNDESLIGA!H152,"",IF(BUNDESLIGA!G152&lt;BUNDESLIGA!H152,"","")))</f>
        <v>Werder Bremen</v>
      </c>
      <c r="M44" s="72" t="str">
        <f>BUNDESLIGA!I152&amp;IF(OR(BUNDESLIGA!G152="",BUNDESLIGA!H152=""),"",IF(BUNDESLIGA!G152&lt;BUNDESLIGA!H152,"",IF(BUNDESLIGA!G152&gt;BUNDESLIGA!H152,"","")))</f>
        <v>SC Paderborn 07</v>
      </c>
      <c r="N44" s="161" t="str">
        <f>IF(BUNDESLIGA!G152&lt;&gt;"",BUNDESLIGA!G152&amp;" - "&amp;BUNDESLIGA!H152,"")</f>
        <v>0 - 1</v>
      </c>
      <c r="O44" s="162"/>
      <c r="Q44" s="63"/>
      <c r="R44" s="63"/>
      <c r="S44" s="63"/>
      <c r="T44" s="63"/>
    </row>
    <row r="45" spans="2:20" x14ac:dyDescent="0.25">
      <c r="B45" s="71" t="str">
        <f>BUNDESLIGA!F43&amp;IF(OR(BUNDESLIGA!G43="",BUNDESLIGA!H43=""),"",IF(BUNDESLIGA!G43&gt;BUNDESLIGA!H43,"",IF(BUNDESLIGA!G43&lt;BUNDESLIGA!H43,"","")))</f>
        <v>RB Leipzig</v>
      </c>
      <c r="C45" s="72" t="str">
        <f>BUNDESLIGA!I43&amp;IF(OR(BUNDESLIGA!G43="",BUNDESLIGA!H43=""),"",IF(BUNDESLIGA!G43&lt;BUNDESLIGA!H43,"",IF(BUNDESLIGA!G43&gt;BUNDESLIGA!H43,"","")))</f>
        <v>Bayern München</v>
      </c>
      <c r="D45" s="161" t="str">
        <f>IF(BUNDESLIGA!G43&lt;&gt;"",BUNDESLIGA!G43&amp;" - "&amp;BUNDESLIGA!H43,"")</f>
        <v>1 - 1</v>
      </c>
      <c r="E45" s="162"/>
      <c r="G45" s="71" t="str">
        <f>BUNDESLIGA!F98&amp;IF(OR(BUNDESLIGA!G98="",BUNDESLIGA!H98=""),"",IF(BUNDESLIGA!G98&gt;BUNDESLIGA!H98,"",IF(BUNDESLIGA!G98&lt;BUNDESLIGA!H98,"","")))</f>
        <v>SC Freiburg</v>
      </c>
      <c r="H45" s="72" t="str">
        <f>BUNDESLIGA!I98&amp;IF(OR(BUNDESLIGA!G98="",BUNDESLIGA!H98=""),"",IF(BUNDESLIGA!G98&lt;BUNDESLIGA!H98,"",IF(BUNDESLIGA!G98&gt;BUNDESLIGA!H98,"","")))</f>
        <v>RB Leipzig</v>
      </c>
      <c r="I45" s="161" t="str">
        <f>IF(BUNDESLIGA!G98&lt;&gt;"",BUNDESLIGA!G98&amp;" - "&amp;BUNDESLIGA!H98,"")</f>
        <v>2 - 1</v>
      </c>
      <c r="J45" s="162"/>
      <c r="L45" s="71" t="str">
        <f>BUNDESLIGA!F153&amp;IF(OR(BUNDESLIGA!G153="",BUNDESLIGA!H153=""),"",IF(BUNDESLIGA!G153&gt;BUNDESLIGA!H153,"",IF(BUNDESLIGA!G153&lt;BUNDESLIGA!H153,"","")))</f>
        <v>SC Freiburg</v>
      </c>
      <c r="M45" s="72" t="str">
        <f>BUNDESLIGA!I153&amp;IF(OR(BUNDESLIGA!G153="",BUNDESLIGA!H153=""),"",IF(BUNDESLIGA!G153&lt;BUNDESLIGA!H153,"",IF(BUNDESLIGA!G153&gt;BUNDESLIGA!H153,"","")))</f>
        <v>VfL Wolfsburg</v>
      </c>
      <c r="N45" s="161" t="str">
        <f>IF(BUNDESLIGA!G153&lt;&gt;"",BUNDESLIGA!G153&amp;" - "&amp;BUNDESLIGA!H153,"")</f>
        <v>1 - 0</v>
      </c>
      <c r="O45" s="162"/>
      <c r="Q45" s="63"/>
      <c r="R45" s="63"/>
      <c r="S45" s="63"/>
      <c r="T45" s="63"/>
    </row>
    <row r="46" spans="2:20" x14ac:dyDescent="0.25">
      <c r="B46" s="71" t="str">
        <f>BUNDESLIGA!F44&amp;IF(OR(BUNDESLIGA!G44="",BUNDESLIGA!H44=""),"",IF(BUNDESLIGA!G44&gt;BUNDESLIGA!H44,"",IF(BUNDESLIGA!G44&lt;BUNDESLIGA!H44,"","")))</f>
        <v>1899 Hoffenheim</v>
      </c>
      <c r="C46" s="72" t="str">
        <f>BUNDESLIGA!I44&amp;IF(OR(BUNDESLIGA!G44="",BUNDESLIGA!H44=""),"",IF(BUNDESLIGA!G44&lt;BUNDESLIGA!H44,"",IF(BUNDESLIGA!G44&gt;BUNDESLIGA!H44,"","")))</f>
        <v>SC Freiburg</v>
      </c>
      <c r="D46" s="161" t="str">
        <f>IF(BUNDESLIGA!G44&lt;&gt;"",BUNDESLIGA!G44&amp;" - "&amp;BUNDESLIGA!H44,"")</f>
        <v>0 - 3</v>
      </c>
      <c r="E46" s="162"/>
      <c r="G46" s="71" t="str">
        <f>BUNDESLIGA!F99&amp;IF(OR(BUNDESLIGA!G99="",BUNDESLIGA!H99=""),"",IF(BUNDESLIGA!G99&gt;BUNDESLIGA!H99,"",IF(BUNDESLIGA!G99&lt;BUNDESLIGA!H99,"","")))</f>
        <v>FC Schalke 04</v>
      </c>
      <c r="H46" s="72" t="str">
        <f>BUNDESLIGA!I99&amp;IF(OR(BUNDESLIGA!G99="",BUNDESLIGA!H99=""),"",IF(BUNDESLIGA!G99&lt;BUNDESLIGA!H99,"",IF(BUNDESLIGA!G99&gt;BUNDESLIGA!H99,"","")))</f>
        <v>Borussia Dortmund</v>
      </c>
      <c r="I46" s="161" t="str">
        <f>IF(BUNDESLIGA!G99&lt;&gt;"",BUNDESLIGA!G99&amp;" - "&amp;BUNDESLIGA!H99,"")</f>
        <v>0 - 0</v>
      </c>
      <c r="J46" s="162"/>
      <c r="L46" s="71" t="str">
        <f>BUNDESLIGA!F154&amp;IF(OR(BUNDESLIGA!G154="",BUNDESLIGA!H154=""),"",IF(BUNDESLIGA!G154&gt;BUNDESLIGA!H154,"",IF(BUNDESLIGA!G154&lt;BUNDESLIGA!H154,"","")))</f>
        <v>FC Augsburg</v>
      </c>
      <c r="M46" s="72" t="str">
        <f>BUNDESLIGA!I154&amp;IF(OR(BUNDESLIGA!G154="",BUNDESLIGA!H154=""),"",IF(BUNDESLIGA!G154&lt;BUNDESLIGA!H154,"",IF(BUNDESLIGA!G154&gt;BUNDESLIGA!H154,"","")))</f>
        <v>1. FSV Mainz 05</v>
      </c>
      <c r="N46" s="161" t="str">
        <f>IF(BUNDESLIGA!G154&lt;&gt;"",BUNDESLIGA!G154&amp;" - "&amp;BUNDESLIGA!H154,"")</f>
        <v>2 - 1</v>
      </c>
      <c r="O46" s="162"/>
      <c r="Q46" s="63"/>
      <c r="R46" s="63"/>
      <c r="S46" s="63"/>
      <c r="T46" s="63"/>
    </row>
    <row r="47" spans="2:20" x14ac:dyDescent="0.25">
      <c r="B47" s="71" t="str">
        <f>BUNDESLIGA!F45&amp;IF(OR(BUNDESLIGA!G45="",BUNDESLIGA!H45=""),"",IF(BUNDESLIGA!G45&gt;BUNDESLIGA!H45,"",IF(BUNDESLIGA!G45&lt;BUNDESLIGA!H45,"","")))</f>
        <v>SC Paderborn 07</v>
      </c>
      <c r="C47" s="72" t="str">
        <f>BUNDESLIGA!I45&amp;IF(OR(BUNDESLIGA!G45="",BUNDESLIGA!H45=""),"",IF(BUNDESLIGA!G45&lt;BUNDESLIGA!H45,"",IF(BUNDESLIGA!G45&gt;BUNDESLIGA!H45,"","")))</f>
        <v>FC Schalke 04</v>
      </c>
      <c r="D47" s="161" t="str">
        <f>IF(BUNDESLIGA!G45&lt;&gt;"",BUNDESLIGA!G45&amp;" - "&amp;BUNDESLIGA!H45,"")</f>
        <v>1 - 5</v>
      </c>
      <c r="E47" s="162"/>
      <c r="G47" s="71" t="str">
        <f>BUNDESLIGA!F100&amp;IF(OR(BUNDESLIGA!G100="",BUNDESLIGA!H100=""),"",IF(BUNDESLIGA!G100&gt;BUNDESLIGA!H100,"",IF(BUNDESLIGA!G100&lt;BUNDESLIGA!H100,"","")))</f>
        <v>SC Paderborn 07</v>
      </c>
      <c r="H47" s="72" t="str">
        <f>BUNDESLIGA!I100&amp;IF(OR(BUNDESLIGA!G100="",BUNDESLIGA!H100=""),"",IF(BUNDESLIGA!G100&lt;BUNDESLIGA!H100,"",IF(BUNDESLIGA!G100&gt;BUNDESLIGA!H100,"","")))</f>
        <v>Fortuna Düsseldorf</v>
      </c>
      <c r="I47" s="161" t="str">
        <f>IF(BUNDESLIGA!G100&lt;&gt;"",BUNDESLIGA!G100&amp;" - "&amp;BUNDESLIGA!H100,"")</f>
        <v>2 - 0</v>
      </c>
      <c r="J47" s="162"/>
      <c r="L47" s="71" t="str">
        <f>BUNDESLIGA!F155&amp;IF(OR(BUNDESLIGA!G155="",BUNDESLIGA!H155=""),"",IF(BUNDESLIGA!G155&gt;BUNDESLIGA!H155,"",IF(BUNDESLIGA!G155&lt;BUNDESLIGA!H155,"","")))</f>
        <v>1. FC Union Berlin</v>
      </c>
      <c r="M47" s="72" t="str">
        <f>BUNDESLIGA!I155&amp;IF(OR(BUNDESLIGA!G155="",BUNDESLIGA!H155=""),"",IF(BUNDESLIGA!G155&lt;BUNDESLIGA!H155,"",IF(BUNDESLIGA!G155&gt;BUNDESLIGA!H155,"","")))</f>
        <v>1. FC Köln</v>
      </c>
      <c r="N47" s="161" t="str">
        <f>IF(BUNDESLIGA!G155&lt;&gt;"",BUNDESLIGA!G155&amp;" - "&amp;BUNDESLIGA!H155,"")</f>
        <v>2 - 0</v>
      </c>
      <c r="O47" s="162"/>
      <c r="Q47" s="63"/>
      <c r="R47" s="63"/>
      <c r="S47" s="63"/>
      <c r="T47" s="63"/>
    </row>
    <row r="48" spans="2:20" x14ac:dyDescent="0.25">
      <c r="B48" s="60"/>
      <c r="C48" s="60"/>
      <c r="G48" s="60"/>
      <c r="H48" s="60"/>
      <c r="L48" s="60"/>
      <c r="M48" s="60"/>
      <c r="Q48" s="60"/>
      <c r="R48" s="60"/>
    </row>
    <row r="49" spans="2:20" x14ac:dyDescent="0.25">
      <c r="B49" s="158" t="s">
        <v>151</v>
      </c>
      <c r="C49" s="159"/>
      <c r="D49" s="159"/>
      <c r="E49" s="160"/>
      <c r="G49" s="158" t="s">
        <v>49</v>
      </c>
      <c r="H49" s="159"/>
      <c r="I49" s="159"/>
      <c r="J49" s="160"/>
      <c r="L49" s="158" t="s">
        <v>54</v>
      </c>
      <c r="M49" s="159"/>
      <c r="N49" s="159"/>
      <c r="O49" s="160"/>
      <c r="Q49" s="60"/>
      <c r="R49" s="60" t="str">
        <f>BUNDESLIGA!I212&amp;IF(OR(BUNDESLIGA!G212="",BUNDESLIGA!H212=""),"",IF(BUNDESLIGA!G212&lt;BUNDESLIGA!H212,"",IF(BUNDESLIGA!G212&gt;BUNDESLIGA!H212,"","")))</f>
        <v/>
      </c>
    </row>
    <row r="50" spans="2:20" x14ac:dyDescent="0.25">
      <c r="B50" s="71" t="str">
        <f>BUNDESLIGA!F48&amp;IF(OR(BUNDESLIGA!G48="",BUNDESLIGA!H48=""),"",IF(BUNDESLIGA!G48&gt;BUNDESLIGA!H48,"",IF(BUNDESLIGA!G48&lt;BUNDESLIGA!H48,"","")))</f>
        <v>FC Schalke 04</v>
      </c>
      <c r="C50" s="72" t="str">
        <f>BUNDESLIGA!I48&amp;IF(OR(BUNDESLIGA!G48="",BUNDESLIGA!H48=""),"",IF(BUNDESLIGA!G48&lt;BUNDESLIGA!H48,"",IF(BUNDESLIGA!G48&gt;BUNDESLIGA!H48,"","")))</f>
        <v>1. FSV Mainz 05</v>
      </c>
      <c r="D50" s="161" t="str">
        <f>IF(BUNDESLIGA!G48&lt;&gt;"",BUNDESLIGA!G48&amp;" - "&amp;BUNDESLIGA!H48,"")</f>
        <v>2 - 1</v>
      </c>
      <c r="E50" s="162"/>
      <c r="G50" s="71" t="str">
        <f>BUNDESLIGA!F103&amp;IF(OR(BUNDESLIGA!G103="",BUNDESLIGA!H103=""),"",IF(BUNDESLIGA!G103&gt;BUNDESLIGA!H103,"",IF(BUNDESLIGA!G103&lt;BUNDESLIGA!H103,"","")))</f>
        <v>Borussia Dortmund</v>
      </c>
      <c r="H50" s="72" t="str">
        <f>BUNDESLIGA!I103&amp;IF(OR(BUNDESLIGA!G103="",BUNDESLIGA!H103=""),"",IF(BUNDESLIGA!G103&lt;BUNDESLIGA!H103,"",IF(BUNDESLIGA!G103&gt;BUNDESLIGA!H103,"","")))</f>
        <v>VfL Wolfsburg</v>
      </c>
      <c r="I50" s="161" t="str">
        <f>IF(BUNDESLIGA!G103&lt;&gt;"",BUNDESLIGA!G103&amp;" - "&amp;BUNDESLIGA!H103,"")</f>
        <v>3 - 0</v>
      </c>
      <c r="J50" s="162"/>
      <c r="L50" s="71" t="str">
        <f>BUNDESLIGA!F158&amp;IF(OR(BUNDESLIGA!G158="",BUNDESLIGA!H158=""),"",IF(BUNDESLIGA!G158&gt;BUNDESLIGA!H158,"",IF(BUNDESLIGA!G158&lt;BUNDESLIGA!H158,"","")))</f>
        <v>Bayern München</v>
      </c>
      <c r="M50" s="72" t="str">
        <f>BUNDESLIGA!I158&amp;IF(OR(BUNDESLIGA!G158="",BUNDESLIGA!H158=""),"",IF(BUNDESLIGA!G158&lt;BUNDESLIGA!H158,"",IF(BUNDESLIGA!G158&gt;BUNDESLIGA!H158,"","")))</f>
        <v>Werder Bremen</v>
      </c>
      <c r="N50" s="161" t="str">
        <f>IF(BUNDESLIGA!G158&lt;&gt;"",BUNDESLIGA!G158&amp;" - "&amp;BUNDESLIGA!H158,"")</f>
        <v>6 - 1</v>
      </c>
      <c r="O50" s="162"/>
      <c r="Q50" s="60"/>
      <c r="R50" s="60"/>
    </row>
    <row r="51" spans="2:20" x14ac:dyDescent="0.25">
      <c r="B51" s="71" t="str">
        <f>BUNDESLIGA!F49&amp;IF(OR(BUNDESLIGA!G49="",BUNDESLIGA!H49=""),"",IF(BUNDESLIGA!G49&gt;BUNDESLIGA!H49,"",IF(BUNDESLIGA!G49&lt;BUNDESLIGA!H49,"","")))</f>
        <v>Bayern München</v>
      </c>
      <c r="C51" s="72" t="str">
        <f>BUNDESLIGA!I49&amp;IF(OR(BUNDESLIGA!G49="",BUNDESLIGA!H49=""),"",IF(BUNDESLIGA!G49&lt;BUNDESLIGA!H49,"",IF(BUNDESLIGA!G49&gt;BUNDESLIGA!H49,"","")))</f>
        <v>1. FC Köln</v>
      </c>
      <c r="D51" s="161" t="str">
        <f>IF(BUNDESLIGA!G49&lt;&gt;"",BUNDESLIGA!G49&amp;" - "&amp;BUNDESLIGA!H49,"")</f>
        <v>4 - 0</v>
      </c>
      <c r="E51" s="162"/>
      <c r="G51" s="71" t="str">
        <f>BUNDESLIGA!F104&amp;IF(OR(BUNDESLIGA!G104="",BUNDESLIGA!H104=""),"",IF(BUNDESLIGA!G104&gt;BUNDESLIGA!H104,"",IF(BUNDESLIGA!G104&lt;BUNDESLIGA!H104,"","")))</f>
        <v>RB Leipzig</v>
      </c>
      <c r="H51" s="72" t="str">
        <f>BUNDESLIGA!I104&amp;IF(OR(BUNDESLIGA!G104="",BUNDESLIGA!H104=""),"",IF(BUNDESLIGA!G104&lt;BUNDESLIGA!H104,"",IF(BUNDESLIGA!G104&gt;BUNDESLIGA!H104,"","")))</f>
        <v>1. FSV Mainz 05</v>
      </c>
      <c r="I51" s="161" t="str">
        <f>IF(BUNDESLIGA!G104&lt;&gt;"",BUNDESLIGA!G104&amp;" - "&amp;BUNDESLIGA!H104,"")</f>
        <v>8 - 0</v>
      </c>
      <c r="J51" s="162"/>
      <c r="L51" s="71" t="str">
        <f>BUNDESLIGA!F159&amp;IF(OR(BUNDESLIGA!G159="",BUNDESLIGA!H159=""),"",IF(BUNDESLIGA!G159&gt;BUNDESLIGA!H159,"",IF(BUNDESLIGA!G159&lt;BUNDESLIGA!H159,"","")))</f>
        <v>VfL Wolfsburg</v>
      </c>
      <c r="M51" s="72" t="str">
        <f>BUNDESLIGA!I159&amp;IF(OR(BUNDESLIGA!G159="",BUNDESLIGA!H159=""),"",IF(BUNDESLIGA!G159&lt;BUNDESLIGA!H159,"",IF(BUNDESLIGA!G159&gt;BUNDESLIGA!H159,"","")))</f>
        <v>Bor. Mönchengladbach</v>
      </c>
      <c r="N51" s="161" t="str">
        <f>IF(BUNDESLIGA!G159&lt;&gt;"",BUNDESLIGA!G159&amp;" - "&amp;BUNDESLIGA!H159,"")</f>
        <v>2 - 1</v>
      </c>
      <c r="O51" s="162"/>
      <c r="Q51" s="60"/>
      <c r="R51" s="60"/>
    </row>
    <row r="52" spans="2:20" x14ac:dyDescent="0.25">
      <c r="B52" s="71" t="str">
        <f>BUNDESLIGA!F50&amp;IF(OR(BUNDESLIGA!G50="",BUNDESLIGA!H50=""),"",IF(BUNDESLIGA!G50&gt;BUNDESLIGA!H50,"",IF(BUNDESLIGA!G50&lt;BUNDESLIGA!H50,"","")))</f>
        <v>Bayer Leverkusen</v>
      </c>
      <c r="C52" s="72" t="str">
        <f>BUNDESLIGA!I50&amp;IF(OR(BUNDESLIGA!G50="",BUNDESLIGA!H50=""),"",IF(BUNDESLIGA!G50&lt;BUNDESLIGA!H50,"",IF(BUNDESLIGA!G50&gt;BUNDESLIGA!H50,"","")))</f>
        <v>1. FC Union Berlin</v>
      </c>
      <c r="D52" s="161" t="str">
        <f>IF(BUNDESLIGA!G50&lt;&gt;"",BUNDESLIGA!G50&amp;" - "&amp;BUNDESLIGA!H50,"")</f>
        <v>2 - 0</v>
      </c>
      <c r="E52" s="162"/>
      <c r="G52" s="71" t="str">
        <f>BUNDESLIGA!F105&amp;IF(OR(BUNDESLIGA!G105="",BUNDESLIGA!H105=""),"",IF(BUNDESLIGA!G105&gt;BUNDESLIGA!H105,"",IF(BUNDESLIGA!G105&lt;BUNDESLIGA!H105,"","")))</f>
        <v>Bayer Leverkusen</v>
      </c>
      <c r="H52" s="72" t="str">
        <f>BUNDESLIGA!I105&amp;IF(OR(BUNDESLIGA!G105="",BUNDESLIGA!H105=""),"",IF(BUNDESLIGA!G105&lt;BUNDESLIGA!H105,"",IF(BUNDESLIGA!G105&gt;BUNDESLIGA!H105,"","")))</f>
        <v>Bor. Mönchengladbach</v>
      </c>
      <c r="I52" s="161" t="str">
        <f>IF(BUNDESLIGA!G105&lt;&gt;"",BUNDESLIGA!G105&amp;" - "&amp;BUNDESLIGA!H105,"")</f>
        <v>1 - 2</v>
      </c>
      <c r="J52" s="162"/>
      <c r="L52" s="71" t="str">
        <f>BUNDESLIGA!F160&amp;IF(OR(BUNDESLIGA!G160="",BUNDESLIGA!H160=""),"",IF(BUNDESLIGA!G160&gt;BUNDESLIGA!H160,"",IF(BUNDESLIGA!G160&lt;BUNDESLIGA!H160,"","")))</f>
        <v>1899 Hoffenheim</v>
      </c>
      <c r="M52" s="72" t="str">
        <f>BUNDESLIGA!I160&amp;IF(OR(BUNDESLIGA!G160="",BUNDESLIGA!H160=""),"",IF(BUNDESLIGA!G160&lt;BUNDESLIGA!H160,"",IF(BUNDESLIGA!G160&gt;BUNDESLIGA!H160,"","")))</f>
        <v>FC Augsburg</v>
      </c>
      <c r="N52" s="161" t="str">
        <f>IF(BUNDESLIGA!G160&lt;&gt;"",BUNDESLIGA!G160&amp;" - "&amp;BUNDESLIGA!H160,"")</f>
        <v>2 - 4</v>
      </c>
      <c r="O52" s="162"/>
      <c r="Q52" s="60"/>
      <c r="R52" s="60"/>
    </row>
    <row r="53" spans="2:20" x14ac:dyDescent="0.25">
      <c r="B53" s="71" t="str">
        <f>BUNDESLIGA!F51&amp;IF(OR(BUNDESLIGA!G51="",BUNDESLIGA!H51=""),"",IF(BUNDESLIGA!G51&gt;BUNDESLIGA!H51,"",IF(BUNDESLIGA!G51&lt;BUNDESLIGA!H51,"","")))</f>
        <v>Hertha BSC</v>
      </c>
      <c r="C53" s="72" t="str">
        <f>BUNDESLIGA!I51&amp;IF(OR(BUNDESLIGA!G51="",BUNDESLIGA!H51=""),"",IF(BUNDESLIGA!G51&lt;BUNDESLIGA!H51,"",IF(BUNDESLIGA!G51&gt;BUNDESLIGA!H51,"","")))</f>
        <v>SC Paderborn 07</v>
      </c>
      <c r="D53" s="161" t="str">
        <f>IF(BUNDESLIGA!G51&lt;&gt;"",BUNDESLIGA!G51&amp;" - "&amp;BUNDESLIGA!H51,"")</f>
        <v>2 - 1</v>
      </c>
      <c r="E53" s="162"/>
      <c r="G53" s="71" t="str">
        <f>BUNDESLIGA!F106&amp;IF(OR(BUNDESLIGA!G106="",BUNDESLIGA!H106=""),"",IF(BUNDESLIGA!G106&gt;BUNDESLIGA!H106,"",IF(BUNDESLIGA!G106&lt;BUNDESLIGA!H106,"","")))</f>
        <v>Eintracht Frankfurt</v>
      </c>
      <c r="H53" s="72" t="str">
        <f>BUNDESLIGA!I106&amp;IF(OR(BUNDESLIGA!G106="",BUNDESLIGA!H106=""),"",IF(BUNDESLIGA!G106&lt;BUNDESLIGA!H106,"",IF(BUNDESLIGA!G106&gt;BUNDESLIGA!H106,"","")))</f>
        <v>Bayern München</v>
      </c>
      <c r="I53" s="161" t="str">
        <f>IF(BUNDESLIGA!G106&lt;&gt;"",BUNDESLIGA!G106&amp;" - "&amp;BUNDESLIGA!H106,"")</f>
        <v>5 - 1</v>
      </c>
      <c r="J53" s="162"/>
      <c r="L53" s="71" t="str">
        <f>BUNDESLIGA!F161&amp;IF(OR(BUNDESLIGA!G161="",BUNDESLIGA!H161=""),"",IF(BUNDESLIGA!G161&gt;BUNDESLIGA!H161,"",IF(BUNDESLIGA!G161&lt;BUNDESLIGA!H161,"","")))</f>
        <v>Fortuna Düsseldorf</v>
      </c>
      <c r="M53" s="72" t="str">
        <f>BUNDESLIGA!I161&amp;IF(OR(BUNDESLIGA!G161="",BUNDESLIGA!H161=""),"",IF(BUNDESLIGA!G161&lt;BUNDESLIGA!H161,"",IF(BUNDESLIGA!G161&gt;BUNDESLIGA!H161,"","")))</f>
        <v>RB Leipzig</v>
      </c>
      <c r="N53" s="161" t="str">
        <f>IF(BUNDESLIGA!G161&lt;&gt;"",BUNDESLIGA!G161&amp;" - "&amp;BUNDESLIGA!H161,"")</f>
        <v>0 - 3</v>
      </c>
      <c r="O53" s="162"/>
      <c r="Q53" s="60"/>
      <c r="R53" s="60"/>
    </row>
    <row r="54" spans="2:20" x14ac:dyDescent="0.25">
      <c r="B54" s="71" t="str">
        <f>BUNDESLIGA!F52&amp;IF(OR(BUNDESLIGA!G52="",BUNDESLIGA!H52=""),"",IF(BUNDESLIGA!G52&gt;BUNDESLIGA!H52,"",IF(BUNDESLIGA!G52&lt;BUNDESLIGA!H52,"","")))</f>
        <v>SC Freiburg</v>
      </c>
      <c r="C54" s="72" t="str">
        <f>BUNDESLIGA!I52&amp;IF(OR(BUNDESLIGA!G52="",BUNDESLIGA!H52=""),"",IF(BUNDESLIGA!G52&lt;BUNDESLIGA!H52,"",IF(BUNDESLIGA!G52&gt;BUNDESLIGA!H52,"","")))</f>
        <v>FC Augsburg</v>
      </c>
      <c r="D54" s="161" t="str">
        <f>IF(BUNDESLIGA!G52&lt;&gt;"",BUNDESLIGA!G52&amp;" - "&amp;BUNDESLIGA!H52,"")</f>
        <v>1 - 1</v>
      </c>
      <c r="E54" s="162"/>
      <c r="G54" s="71" t="str">
        <f>BUNDESLIGA!F107&amp;IF(OR(BUNDESLIGA!G107="",BUNDESLIGA!H107=""),"",IF(BUNDESLIGA!G107&gt;BUNDESLIGA!H107,"",IF(BUNDESLIGA!G107&lt;BUNDESLIGA!H107,"","")))</f>
        <v>Werder Bremen</v>
      </c>
      <c r="H54" s="72" t="str">
        <f>BUNDESLIGA!I107&amp;IF(OR(BUNDESLIGA!G107="",BUNDESLIGA!H107=""),"",IF(BUNDESLIGA!G107&lt;BUNDESLIGA!H107,"",IF(BUNDESLIGA!G107&gt;BUNDESLIGA!H107,"","")))</f>
        <v>SC Freiburg</v>
      </c>
      <c r="I54" s="161" t="str">
        <f>IF(BUNDESLIGA!G107&lt;&gt;"",BUNDESLIGA!G107&amp;" - "&amp;BUNDESLIGA!H107,"")</f>
        <v>2 - 2</v>
      </c>
      <c r="J54" s="162"/>
      <c r="L54" s="71" t="str">
        <f>BUNDESLIGA!F162&amp;IF(OR(BUNDESLIGA!G162="",BUNDESLIGA!H162=""),"",IF(BUNDESLIGA!G162&gt;BUNDESLIGA!H162,"",IF(BUNDESLIGA!G162&lt;BUNDESLIGA!H162,"","")))</f>
        <v>Hertha BSC</v>
      </c>
      <c r="M54" s="72" t="str">
        <f>BUNDESLIGA!I162&amp;IF(OR(BUNDESLIGA!G162="",BUNDESLIGA!H162=""),"",IF(BUNDESLIGA!G162&lt;BUNDESLIGA!H162,"",IF(BUNDESLIGA!G162&gt;BUNDESLIGA!H162,"","")))</f>
        <v>SC Freiburg</v>
      </c>
      <c r="N54" s="161" t="str">
        <f>IF(BUNDESLIGA!G162&lt;&gt;"",BUNDESLIGA!G162&amp;" - "&amp;BUNDESLIGA!H162,"")</f>
        <v>1 - 0</v>
      </c>
      <c r="O54" s="162"/>
      <c r="Q54" s="60"/>
      <c r="R54" s="60"/>
    </row>
    <row r="55" spans="2:20" x14ac:dyDescent="0.25">
      <c r="B55" s="71" t="str">
        <f>BUNDESLIGA!F53&amp;IF(OR(BUNDESLIGA!G53="",BUNDESLIGA!H53=""),"",IF(BUNDESLIGA!G53&gt;BUNDESLIGA!H53,"",IF(BUNDESLIGA!G53&lt;BUNDESLIGA!H53,"","")))</f>
        <v>Werder Bremen</v>
      </c>
      <c r="C55" s="72" t="str">
        <f>BUNDESLIGA!I53&amp;IF(OR(BUNDESLIGA!G53="",BUNDESLIGA!H53=""),"",IF(BUNDESLIGA!G53&lt;BUNDESLIGA!H53,"",IF(BUNDESLIGA!G53&gt;BUNDESLIGA!H53,"","")))</f>
        <v>RB Leipzig</v>
      </c>
      <c r="D55" s="161" t="str">
        <f>IF(BUNDESLIGA!G53&lt;&gt;"",BUNDESLIGA!G53&amp;" - "&amp;BUNDESLIGA!H53,"")</f>
        <v>0 - 3</v>
      </c>
      <c r="E55" s="162"/>
      <c r="G55" s="71" t="str">
        <f>BUNDESLIGA!F108&amp;IF(OR(BUNDESLIGA!G108="",BUNDESLIGA!H108=""),"",IF(BUNDESLIGA!G108&gt;BUNDESLIGA!H108,"",IF(BUNDESLIGA!G108&lt;BUNDESLIGA!H108,"","")))</f>
        <v>1899 Hoffenheim</v>
      </c>
      <c r="H55" s="72" t="str">
        <f>BUNDESLIGA!I108&amp;IF(OR(BUNDESLIGA!G108="",BUNDESLIGA!H108=""),"",IF(BUNDESLIGA!G108&lt;BUNDESLIGA!H108,"",IF(BUNDESLIGA!G108&gt;BUNDESLIGA!H108,"","")))</f>
        <v>SC Paderborn 07</v>
      </c>
      <c r="I55" s="161" t="str">
        <f>IF(BUNDESLIGA!G108&lt;&gt;"",BUNDESLIGA!G108&amp;" - "&amp;BUNDESLIGA!H108,"")</f>
        <v>3 - 0</v>
      </c>
      <c r="J55" s="162"/>
      <c r="L55" s="71" t="str">
        <f>BUNDESLIGA!F163&amp;IF(OR(BUNDESLIGA!G163="",BUNDESLIGA!H163=""),"",IF(BUNDESLIGA!G163&gt;BUNDESLIGA!H163,"",IF(BUNDESLIGA!G163&lt;BUNDESLIGA!H163,"","")))</f>
        <v>1. FSV Mainz 05</v>
      </c>
      <c r="M55" s="72" t="str">
        <f>BUNDESLIGA!I163&amp;IF(OR(BUNDESLIGA!G163="",BUNDESLIGA!H163=""),"",IF(BUNDESLIGA!G163&lt;BUNDESLIGA!H163,"",IF(BUNDESLIGA!G163&gt;BUNDESLIGA!H163,"","")))</f>
        <v>Borussia Dortmund</v>
      </c>
      <c r="N55" s="161" t="str">
        <f>IF(BUNDESLIGA!G163&lt;&gt;"",BUNDESLIGA!G163&amp;" - "&amp;BUNDESLIGA!H163,"")</f>
        <v>0 - 4</v>
      </c>
      <c r="O55" s="162"/>
      <c r="Q55" s="60"/>
      <c r="R55" s="60"/>
    </row>
    <row r="56" spans="2:20" x14ac:dyDescent="0.25">
      <c r="B56" s="71" t="str">
        <f>BUNDESLIGA!F54&amp;IF(OR(BUNDESLIGA!G54="",BUNDESLIGA!H54=""),"",IF(BUNDESLIGA!G54&gt;BUNDESLIGA!H54,"",IF(BUNDESLIGA!G54&lt;BUNDESLIGA!H54,"","")))</f>
        <v>Bor. Mönchengladbach</v>
      </c>
      <c r="C56" s="72" t="str">
        <f>BUNDESLIGA!I54&amp;IF(OR(BUNDESLIGA!G54="",BUNDESLIGA!H54=""),"",IF(BUNDESLIGA!G54&lt;BUNDESLIGA!H54,"",IF(BUNDESLIGA!G54&gt;BUNDESLIGA!H54,"","")))</f>
        <v>Fortuna Düsseldorf</v>
      </c>
      <c r="D56" s="161" t="str">
        <f>IF(BUNDESLIGA!G54&lt;&gt;"",BUNDESLIGA!G54&amp;" - "&amp;BUNDESLIGA!H54,"")</f>
        <v>2 - 1</v>
      </c>
      <c r="E56" s="162"/>
      <c r="G56" s="71" t="str">
        <f>BUNDESLIGA!F109&amp;IF(OR(BUNDESLIGA!G109="",BUNDESLIGA!H109=""),"",IF(BUNDESLIGA!G109&gt;BUNDESLIGA!H109,"",IF(BUNDESLIGA!G109&lt;BUNDESLIGA!H109,"","")))</f>
        <v>Fortuna Düsseldorf</v>
      </c>
      <c r="H56" s="72" t="str">
        <f>BUNDESLIGA!I109&amp;IF(OR(BUNDESLIGA!G109="",BUNDESLIGA!H109=""),"",IF(BUNDESLIGA!G109&lt;BUNDESLIGA!H109,"",IF(BUNDESLIGA!G109&gt;BUNDESLIGA!H109,"","")))</f>
        <v>1. FC Köln</v>
      </c>
      <c r="I56" s="161" t="str">
        <f>IF(BUNDESLIGA!G109&lt;&gt;"",BUNDESLIGA!G109&amp;" - "&amp;BUNDESLIGA!H109,"")</f>
        <v>2 - 0</v>
      </c>
      <c r="J56" s="162"/>
      <c r="L56" s="71" t="str">
        <f>BUNDESLIGA!F164&amp;IF(OR(BUNDESLIGA!G164="",BUNDESLIGA!H164=""),"",IF(BUNDESLIGA!G164&gt;BUNDESLIGA!H164,"",IF(BUNDESLIGA!G164&lt;BUNDESLIGA!H164,"","")))</f>
        <v>FC Schalke 04</v>
      </c>
      <c r="M56" s="72" t="str">
        <f>BUNDESLIGA!I164&amp;IF(OR(BUNDESLIGA!G164="",BUNDESLIGA!H164=""),"",IF(BUNDESLIGA!G164&lt;BUNDESLIGA!H164,"",IF(BUNDESLIGA!G164&gt;BUNDESLIGA!H164,"","")))</f>
        <v>Eintracht Frankfurt</v>
      </c>
      <c r="N56" s="161" t="str">
        <f>IF(BUNDESLIGA!G164&lt;&gt;"",BUNDESLIGA!G164&amp;" - "&amp;BUNDESLIGA!H164,"")</f>
        <v>1 - 0</v>
      </c>
      <c r="O56" s="162"/>
      <c r="Q56" s="60"/>
      <c r="R56" s="60"/>
    </row>
    <row r="57" spans="2:20" x14ac:dyDescent="0.25">
      <c r="B57" s="71" t="str">
        <f>BUNDESLIGA!F55&amp;IF(OR(BUNDESLIGA!G55="",BUNDESLIGA!H55=""),"",IF(BUNDESLIGA!G55&gt;BUNDESLIGA!H55,"",IF(BUNDESLIGA!G55&lt;BUNDESLIGA!H55,"","")))</f>
        <v>Eintracht Frankfurt</v>
      </c>
      <c r="C57" s="72" t="str">
        <f>BUNDESLIGA!I55&amp;IF(OR(BUNDESLIGA!G55="",BUNDESLIGA!H55=""),"",IF(BUNDESLIGA!G55&lt;BUNDESLIGA!H55,"",IF(BUNDESLIGA!G55&gt;BUNDESLIGA!H55,"","")))</f>
        <v>Borussia Dortmund</v>
      </c>
      <c r="D57" s="161" t="str">
        <f>IF(BUNDESLIGA!G55&lt;&gt;"",BUNDESLIGA!G55&amp;" - "&amp;BUNDESLIGA!H55,"")</f>
        <v>2 - 2</v>
      </c>
      <c r="E57" s="162"/>
      <c r="G57" s="71" t="str">
        <f>BUNDESLIGA!F110&amp;IF(OR(BUNDESLIGA!G110="",BUNDESLIGA!H110=""),"",IF(BUNDESLIGA!G110&gt;BUNDESLIGA!H110,"",IF(BUNDESLIGA!G110&lt;BUNDESLIGA!H110,"","")))</f>
        <v>FC Augsburg</v>
      </c>
      <c r="H57" s="72" t="str">
        <f>BUNDESLIGA!I110&amp;IF(OR(BUNDESLIGA!G110="",BUNDESLIGA!H110=""),"",IF(BUNDESLIGA!G110&lt;BUNDESLIGA!H110,"",IF(BUNDESLIGA!G110&gt;BUNDESLIGA!H110,"","")))</f>
        <v>FC Schalke 04</v>
      </c>
      <c r="I57" s="161" t="str">
        <f>IF(BUNDESLIGA!G110&lt;&gt;"",BUNDESLIGA!G110&amp;" - "&amp;BUNDESLIGA!H110,"")</f>
        <v>2 - 3</v>
      </c>
      <c r="J57" s="162"/>
      <c r="L57" s="71" t="str">
        <f>BUNDESLIGA!F165&amp;IF(OR(BUNDESLIGA!G165="",BUNDESLIGA!H165=""),"",IF(BUNDESLIGA!G165&gt;BUNDESLIGA!H165,"",IF(BUNDESLIGA!G165&lt;BUNDESLIGA!H165,"","")))</f>
        <v>1. FC Köln</v>
      </c>
      <c r="M57" s="72" t="str">
        <f>BUNDESLIGA!I165&amp;IF(OR(BUNDESLIGA!G165="",BUNDESLIGA!H165=""),"",IF(BUNDESLIGA!G165&lt;BUNDESLIGA!H165,"",IF(BUNDESLIGA!G165&gt;BUNDESLIGA!H165,"","")))</f>
        <v>Bayer Leverkusen</v>
      </c>
      <c r="N57" s="161" t="str">
        <f>IF(BUNDESLIGA!G165&lt;&gt;"",BUNDESLIGA!G165&amp;" - "&amp;BUNDESLIGA!H165,"")</f>
        <v>2 - 0</v>
      </c>
      <c r="O57" s="162"/>
      <c r="Q57" s="60"/>
      <c r="R57" s="60"/>
    </row>
    <row r="58" spans="2:20" x14ac:dyDescent="0.25">
      <c r="B58" s="71" t="str">
        <f>BUNDESLIGA!F56&amp;IF(OR(BUNDESLIGA!G56="",BUNDESLIGA!H56=""),"",IF(BUNDESLIGA!G56&gt;BUNDESLIGA!H56,"",IF(BUNDESLIGA!G56&lt;BUNDESLIGA!H56,"","")))</f>
        <v>VfL Wolfsburg</v>
      </c>
      <c r="C58" s="72" t="str">
        <f>BUNDESLIGA!I56&amp;IF(OR(BUNDESLIGA!G56="",BUNDESLIGA!H56=""),"",IF(BUNDESLIGA!G56&lt;BUNDESLIGA!H56,"",IF(BUNDESLIGA!G56&gt;BUNDESLIGA!H56,"","")))</f>
        <v>1899 Hoffenheim</v>
      </c>
      <c r="D58" s="161" t="str">
        <f>IF(BUNDESLIGA!G56&lt;&gt;"",BUNDESLIGA!G56&amp;" - "&amp;BUNDESLIGA!H56,"")</f>
        <v>1 - 1</v>
      </c>
      <c r="E58" s="162"/>
      <c r="G58" s="71" t="str">
        <f>BUNDESLIGA!F111&amp;IF(OR(BUNDESLIGA!G111="",BUNDESLIGA!H111=""),"",IF(BUNDESLIGA!G111&gt;BUNDESLIGA!H111,"",IF(BUNDESLIGA!G111&lt;BUNDESLIGA!H111,"","")))</f>
        <v>1. FC Union Berlin</v>
      </c>
      <c r="H58" s="72" t="str">
        <f>BUNDESLIGA!I111&amp;IF(OR(BUNDESLIGA!G111="",BUNDESLIGA!H111=""),"",IF(BUNDESLIGA!G111&lt;BUNDESLIGA!H111,"",IF(BUNDESLIGA!G111&gt;BUNDESLIGA!H111,"","")))</f>
        <v>Hertha BSC</v>
      </c>
      <c r="I58" s="161" t="str">
        <f>IF(BUNDESLIGA!G111&lt;&gt;"",BUNDESLIGA!G111&amp;" - "&amp;BUNDESLIGA!H111,"")</f>
        <v>1 - 0</v>
      </c>
      <c r="J58" s="162"/>
      <c r="L58" s="71" t="str">
        <f>BUNDESLIGA!F166&amp;IF(OR(BUNDESLIGA!G166="",BUNDESLIGA!H166=""),"",IF(BUNDESLIGA!G166&gt;BUNDESLIGA!H166,"",IF(BUNDESLIGA!G166&lt;BUNDESLIGA!H166,"","")))</f>
        <v>SC Paderborn 07</v>
      </c>
      <c r="M58" s="72" t="str">
        <f>BUNDESLIGA!I166&amp;IF(OR(BUNDESLIGA!G166="",BUNDESLIGA!H166=""),"",IF(BUNDESLIGA!G166&lt;BUNDESLIGA!H166,"",IF(BUNDESLIGA!G166&gt;BUNDESLIGA!H166,"","")))</f>
        <v>1. FC Union Berlin</v>
      </c>
      <c r="N58" s="161" t="str">
        <f>IF(BUNDESLIGA!G166&lt;&gt;"",BUNDESLIGA!G166&amp;" - "&amp;BUNDESLIGA!H166,"")</f>
        <v>1 - 1</v>
      </c>
      <c r="O58" s="162"/>
      <c r="Q58" s="60"/>
      <c r="R58" s="60"/>
    </row>
    <row r="59" spans="2:20" x14ac:dyDescent="0.25">
      <c r="B59" s="60"/>
      <c r="C59" s="60"/>
      <c r="G59" s="60"/>
      <c r="H59" s="60"/>
      <c r="L59" s="60"/>
      <c r="M59" s="60"/>
    </row>
    <row r="60" spans="2:20" ht="21" x14ac:dyDescent="0.35">
      <c r="B60" s="69"/>
      <c r="C60" s="69"/>
      <c r="D60" s="69"/>
      <c r="E60" s="69"/>
      <c r="G60" s="60"/>
      <c r="H60" s="157" t="s">
        <v>160</v>
      </c>
      <c r="I60" s="157"/>
      <c r="J60" s="157"/>
      <c r="K60" s="157"/>
      <c r="L60" s="157"/>
      <c r="M60" s="60"/>
    </row>
    <row r="61" spans="2:20" ht="15.75" customHeight="1" x14ac:dyDescent="0.35">
      <c r="B61" s="70"/>
      <c r="C61" s="70"/>
      <c r="D61" s="70"/>
      <c r="E61" s="70"/>
      <c r="G61" s="60"/>
      <c r="H61" s="60"/>
      <c r="L61" s="60"/>
      <c r="M61" s="60"/>
    </row>
    <row r="62" spans="2:20" x14ac:dyDescent="0.25">
      <c r="B62" s="60"/>
      <c r="C62" s="60"/>
      <c r="G62" s="60"/>
      <c r="H62" s="60"/>
      <c r="L62" s="60"/>
      <c r="M62" s="60"/>
    </row>
    <row r="63" spans="2:20" x14ac:dyDescent="0.25">
      <c r="B63" s="158" t="s">
        <v>57</v>
      </c>
      <c r="C63" s="159"/>
      <c r="D63" s="159"/>
      <c r="E63" s="160"/>
      <c r="G63" s="158" t="str">
        <f>BUNDESLIGA!F245&amp;IF(OR(BUNDESLIGA!G245="",BUNDESLIGA!H245=""),"",IF(BUNDESLIGA!G245&gt;BUNDESLIGA!H245,"",IF(BUNDESLIGA!G245&lt;BUNDESLIGA!H245,"","")))</f>
        <v>JOURNEE 23</v>
      </c>
      <c r="H63" s="159"/>
      <c r="I63" s="159"/>
      <c r="J63" s="160"/>
      <c r="L63" s="158" t="str">
        <f>BUNDESLIGA!F300&amp;IF(OR(BUNDESLIGA!G300="",BUNDESLIGA!H300=""),"",IF(BUNDESLIGA!G300&gt;BUNDESLIGA!H300,"",IF(BUNDESLIGA!G300&lt;BUNDESLIGA!H300,"","")))</f>
        <v>JOURNEE 28</v>
      </c>
      <c r="M63" s="159"/>
      <c r="N63" s="159"/>
      <c r="O63" s="160"/>
      <c r="Q63" s="158" t="str">
        <f>BUNDESLIGA!F355&amp;IF(OR(BUNDESLIGA!G355="",BUNDESLIGA!H355=""),"",IF(BUNDESLIGA!G355&gt;BUNDESLIGA!H355,"",IF(BUNDESLIGA!G355&lt;BUNDESLIGA!H355,"","")))</f>
        <v>JOURNEE 33</v>
      </c>
      <c r="R63" s="159"/>
      <c r="S63" s="159"/>
      <c r="T63" s="160"/>
    </row>
    <row r="64" spans="2:20" x14ac:dyDescent="0.25">
      <c r="B64" s="71" t="str">
        <f>BUNDESLIGA!F191&amp;IF(OR(BUNDESLIGA!G191="",BUNDESLIGA!H191=""),"",IF(BUNDESLIGA!G191&gt;BUNDESLIGA!H191,"",IF(BUNDESLIGA!G191&lt;BUNDESLIGA!H191,"","")))</f>
        <v>Hertha BSC</v>
      </c>
      <c r="C64" s="72" t="str">
        <f>BUNDESLIGA!I191&amp;IF(OR(BUNDESLIGA!G191="",BUNDESLIGA!H191=""),"",IF(BUNDESLIGA!G191&lt;BUNDESLIGA!H191,"",IF(BUNDESLIGA!G191&gt;BUNDESLIGA!H191,"","")))</f>
        <v>Bayern München</v>
      </c>
      <c r="D64" s="161" t="str">
        <f>IF(BUNDESLIGA!G191&lt;&gt;"",BUNDESLIGA!G191&amp;" - "&amp;BUNDESLIGA!H191,"")</f>
        <v>0 - 4</v>
      </c>
      <c r="E64" s="162"/>
      <c r="G64" s="71" t="str">
        <f>BUNDESLIGA!F246&amp;IF(OR(BUNDESLIGA!G246="",BUNDESLIGA!H246=""),"",IF(BUNDESLIGA!G246&gt;BUNDESLIGA!H246,"",IF(BUNDESLIGA!G246&lt;BUNDESLIGA!H246,"","")))</f>
        <v>Werder Bremen</v>
      </c>
      <c r="H64" s="72" t="str">
        <f>BUNDESLIGA!I246&amp;IF(OR(BUNDESLIGA!G246="",BUNDESLIGA!H246=""),"",IF(BUNDESLIGA!G246&lt;BUNDESLIGA!H246,"",IF(BUNDESLIGA!G246&gt;BUNDESLIGA!H246,"","")))</f>
        <v>Borussia Dortmund</v>
      </c>
      <c r="I64" s="161" t="str">
        <f>IF(BUNDESLIGA!G246&lt;&gt;"",BUNDESLIGA!G246&amp;" - "&amp;BUNDESLIGA!H246,"")</f>
        <v>0 - 2</v>
      </c>
      <c r="J64" s="162"/>
      <c r="L64" s="71" t="str">
        <f>BUNDESLIGA!F301&amp;IF(OR(BUNDESLIGA!G301="",BUNDESLIGA!H301=""),"",IF(BUNDESLIGA!G301&gt;BUNDESLIGA!H301,"",IF(BUNDESLIGA!G301&lt;BUNDESLIGA!H301,"","")))</f>
        <v>Borussia Dortmund</v>
      </c>
      <c r="M64" s="72" t="str">
        <f>BUNDESLIGA!I301&amp;IF(OR(BUNDESLIGA!G301="",BUNDESLIGA!H301=""),"",IF(BUNDESLIGA!G301&lt;BUNDESLIGA!H301,"",IF(BUNDESLIGA!G301&gt;BUNDESLIGA!H301,"","")))</f>
        <v>Bayern München</v>
      </c>
      <c r="N64" s="161" t="str">
        <f>IF(BUNDESLIGA!G301&lt;&gt;"",BUNDESLIGA!G301&amp;" - "&amp;BUNDESLIGA!H301,"")</f>
        <v/>
      </c>
      <c r="O64" s="162"/>
      <c r="Q64" s="71" t="str">
        <f>BUNDESLIGA!F356&amp;IF(OR(BUNDESLIGA!G356="",BUNDESLIGA!H356=""),"",IF(BUNDESLIGA!G356&gt;BUNDESLIGA!H356,"",IF(BUNDESLIGA!G356&lt;BUNDESLIGA!H356,"","")))</f>
        <v>RB Leipzig</v>
      </c>
      <c r="R64" s="72" t="str">
        <f>BUNDESLIGA!I356&amp;IF(OR(BUNDESLIGA!G356="",BUNDESLIGA!H356=""),"",IF(BUNDESLIGA!G356&lt;BUNDESLIGA!H356,"",IF(BUNDESLIGA!G356&gt;BUNDESLIGA!H356,"","")))</f>
        <v>Borussia Dortmund</v>
      </c>
      <c r="S64" s="161" t="str">
        <f>IF(BUNDESLIGA!G356&lt;&gt;"",BUNDESLIGA!G356&amp;" - "&amp;BUNDESLIGA!H356,"")</f>
        <v/>
      </c>
      <c r="T64" s="162"/>
    </row>
    <row r="65" spans="2:20" x14ac:dyDescent="0.25">
      <c r="B65" s="71" t="str">
        <f>BUNDESLIGA!F192&amp;IF(OR(BUNDESLIGA!G192="",BUNDESLIGA!H192=""),"",IF(BUNDESLIGA!G192&gt;BUNDESLIGA!H192,"",IF(BUNDESLIGA!G192&lt;BUNDESLIGA!H192,"","")))</f>
        <v>FC Augsburg</v>
      </c>
      <c r="C65" s="72" t="str">
        <f>BUNDESLIGA!I192&amp;IF(OR(BUNDESLIGA!G192="",BUNDESLIGA!H192=""),"",IF(BUNDESLIGA!G192&lt;BUNDESLIGA!H192,"",IF(BUNDESLIGA!G192&gt;BUNDESLIGA!H192,"","")))</f>
        <v>Borussia Dortmund</v>
      </c>
      <c r="D65" s="161" t="str">
        <f>IF(BUNDESLIGA!G192&lt;&gt;"",BUNDESLIGA!G192&amp;" - "&amp;BUNDESLIGA!H192,"")</f>
        <v>3 - 5</v>
      </c>
      <c r="E65" s="162"/>
      <c r="G65" s="71" t="str">
        <f>BUNDESLIGA!F247&amp;IF(OR(BUNDESLIGA!G247="",BUNDESLIGA!H247=""),"",IF(BUNDESLIGA!G247&gt;BUNDESLIGA!H247,"",IF(BUNDESLIGA!G247&lt;BUNDESLIGA!H247,"","")))</f>
        <v>FC Schalke 04</v>
      </c>
      <c r="H65" s="72" t="str">
        <f>BUNDESLIGA!I247&amp;IF(OR(BUNDESLIGA!G247="",BUNDESLIGA!H247=""),"",IF(BUNDESLIGA!G247&lt;BUNDESLIGA!H247,"",IF(BUNDESLIGA!G247&gt;BUNDESLIGA!H247,"","")))</f>
        <v>RB Leipzig</v>
      </c>
      <c r="I65" s="161" t="str">
        <f>IF(BUNDESLIGA!G247&lt;&gt;"",BUNDESLIGA!G247&amp;" - "&amp;BUNDESLIGA!H247,"")</f>
        <v>0 - 5</v>
      </c>
      <c r="J65" s="162"/>
      <c r="L65" s="71" t="str">
        <f>BUNDESLIGA!F302&amp;IF(OR(BUNDESLIGA!G302="",BUNDESLIGA!H302=""),"",IF(BUNDESLIGA!G302&gt;BUNDESLIGA!H302,"",IF(BUNDESLIGA!G302&lt;BUNDESLIGA!H302,"","")))</f>
        <v>Werder Bremen</v>
      </c>
      <c r="M65" s="72" t="str">
        <f>BUNDESLIGA!I302&amp;IF(OR(BUNDESLIGA!G302="",BUNDESLIGA!H302=""),"",IF(BUNDESLIGA!G302&lt;BUNDESLIGA!H302,"",IF(BUNDESLIGA!G302&gt;BUNDESLIGA!H302,"","")))</f>
        <v>Bor. Mönchengladbach</v>
      </c>
      <c r="N65" s="161" t="str">
        <f>IF(BUNDESLIGA!G302&lt;&gt;"",BUNDESLIGA!G302&amp;" - "&amp;BUNDESLIGA!H302,"")</f>
        <v/>
      </c>
      <c r="O65" s="162"/>
      <c r="Q65" s="71" t="str">
        <f>BUNDESLIGA!F357&amp;IF(OR(BUNDESLIGA!G357="",BUNDESLIGA!H357=""),"",IF(BUNDESLIGA!G357&gt;BUNDESLIGA!H357,"",IF(BUNDESLIGA!G357&lt;BUNDESLIGA!H357,"","")))</f>
        <v>Hertha BSC</v>
      </c>
      <c r="R65" s="72" t="str">
        <f>BUNDESLIGA!I357&amp;IF(OR(BUNDESLIGA!G357="",BUNDESLIGA!H357=""),"",IF(BUNDESLIGA!G357&lt;BUNDESLIGA!H357,"",IF(BUNDESLIGA!G357&gt;BUNDESLIGA!H357,"","")))</f>
        <v>Bayer Leverkusen</v>
      </c>
      <c r="S65" s="161" t="str">
        <f>IF(BUNDESLIGA!G357&lt;&gt;"",BUNDESLIGA!G357&amp;" - "&amp;BUNDESLIGA!H357,"")</f>
        <v/>
      </c>
      <c r="T65" s="162"/>
    </row>
    <row r="66" spans="2:20" x14ac:dyDescent="0.25">
      <c r="B66" s="71" t="str">
        <f>BUNDESLIGA!F193&amp;IF(OR(BUNDESLIGA!G193="",BUNDESLIGA!H193=""),"",IF(BUNDESLIGA!G193&gt;BUNDESLIGA!H193,"",IF(BUNDESLIGA!G193&lt;BUNDESLIGA!H193,"","")))</f>
        <v>SC Paderborn 07</v>
      </c>
      <c r="C66" s="72" t="str">
        <f>BUNDESLIGA!I193&amp;IF(OR(BUNDESLIGA!G193="",BUNDESLIGA!H193=""),"",IF(BUNDESLIGA!G193&lt;BUNDESLIGA!H193,"",IF(BUNDESLIGA!G193&gt;BUNDESLIGA!H193,"","")))</f>
        <v>Bayer Leverkusen</v>
      </c>
      <c r="D66" s="161" t="str">
        <f>IF(BUNDESLIGA!G193&lt;&gt;"",BUNDESLIGA!G193&amp;" - "&amp;BUNDESLIGA!H193,"")</f>
        <v>1 - 4</v>
      </c>
      <c r="E66" s="162"/>
      <c r="G66" s="71" t="str">
        <f>BUNDESLIGA!F248&amp;IF(OR(BUNDESLIGA!G248="",BUNDESLIGA!H248=""),"",IF(BUNDESLIGA!G248&gt;BUNDESLIGA!H248,"",IF(BUNDESLIGA!G248&lt;BUNDESLIGA!H248,"","")))</f>
        <v>Bor. Mönchengladbach</v>
      </c>
      <c r="H66" s="72" t="str">
        <f>BUNDESLIGA!I248&amp;IF(OR(BUNDESLIGA!G248="",BUNDESLIGA!H248=""),"",IF(BUNDESLIGA!G248&lt;BUNDESLIGA!H248,"",IF(BUNDESLIGA!G248&gt;BUNDESLIGA!H248,"","")))</f>
        <v>1899 Hoffenheim</v>
      </c>
      <c r="I66" s="161" t="str">
        <f>IF(BUNDESLIGA!G248&lt;&gt;"",BUNDESLIGA!G248&amp;" - "&amp;BUNDESLIGA!H248,"")</f>
        <v>1 - 1</v>
      </c>
      <c r="J66" s="162"/>
      <c r="L66" s="71" t="str">
        <f>BUNDESLIGA!F303&amp;IF(OR(BUNDESLIGA!G303="",BUNDESLIGA!H303=""),"",IF(BUNDESLIGA!G303&gt;BUNDESLIGA!H303,"",IF(BUNDESLIGA!G303&lt;BUNDESLIGA!H303,"","")))</f>
        <v>Bayer Leverkusen</v>
      </c>
      <c r="M66" s="72" t="str">
        <f>BUNDESLIGA!I303&amp;IF(OR(BUNDESLIGA!G303="",BUNDESLIGA!H303=""),"",IF(BUNDESLIGA!G303&lt;BUNDESLIGA!H303,"",IF(BUNDESLIGA!G303&gt;BUNDESLIGA!H303,"","")))</f>
        <v>VfL Wolfsburg</v>
      </c>
      <c r="N66" s="161" t="str">
        <f>IF(BUNDESLIGA!G303&lt;&gt;"",BUNDESLIGA!G303&amp;" - "&amp;BUNDESLIGA!H303,"")</f>
        <v/>
      </c>
      <c r="O66" s="162"/>
      <c r="Q66" s="71" t="str">
        <f>BUNDESLIGA!F358&amp;IF(OR(BUNDESLIGA!G358="",BUNDESLIGA!H358=""),"",IF(BUNDESLIGA!G358&gt;BUNDESLIGA!H358,"",IF(BUNDESLIGA!G358&lt;BUNDESLIGA!H358,"","")))</f>
        <v>SC Paderborn 07</v>
      </c>
      <c r="R66" s="72" t="str">
        <f>BUNDESLIGA!I358&amp;IF(OR(BUNDESLIGA!G358="",BUNDESLIGA!H358=""),"",IF(BUNDESLIGA!G358&lt;BUNDESLIGA!H358,"",IF(BUNDESLIGA!G358&gt;BUNDESLIGA!H358,"","")))</f>
        <v>Bor. Mönchengladbach</v>
      </c>
      <c r="S66" s="161" t="str">
        <f>IF(BUNDESLIGA!G358&lt;&gt;"",BUNDESLIGA!G358&amp;" - "&amp;BUNDESLIGA!H358,"")</f>
        <v/>
      </c>
      <c r="T66" s="162"/>
    </row>
    <row r="67" spans="2:20" x14ac:dyDescent="0.25">
      <c r="B67" s="71" t="str">
        <f>BUNDESLIGA!F194&amp;IF(OR(BUNDESLIGA!G194="",BUNDESLIGA!H194=""),"",IF(BUNDESLIGA!G194&gt;BUNDESLIGA!H194,"",IF(BUNDESLIGA!G194&lt;BUNDESLIGA!H194,"","")))</f>
        <v>FC Schalke 04</v>
      </c>
      <c r="C67" s="72" t="str">
        <f>BUNDESLIGA!I194&amp;IF(OR(BUNDESLIGA!G194="",BUNDESLIGA!H194=""),"",IF(BUNDESLIGA!G194&lt;BUNDESLIGA!H194,"",IF(BUNDESLIGA!G194&gt;BUNDESLIGA!H194,"","")))</f>
        <v>Bor. Mönchengladbach</v>
      </c>
      <c r="D67" s="161" t="str">
        <f>IF(BUNDESLIGA!G194&lt;&gt;"",BUNDESLIGA!G194&amp;" - "&amp;BUNDESLIGA!H194,"")</f>
        <v>2 - 0</v>
      </c>
      <c r="E67" s="162"/>
      <c r="G67" s="71" t="str">
        <f>BUNDESLIGA!F249&amp;IF(OR(BUNDESLIGA!G249="",BUNDESLIGA!H249=""),"",IF(BUNDESLIGA!G249&gt;BUNDESLIGA!H249,"",IF(BUNDESLIGA!G249&lt;BUNDESLIGA!H249,"","")))</f>
        <v>SC Freiburg</v>
      </c>
      <c r="H67" s="72" t="str">
        <f>BUNDESLIGA!I249&amp;IF(OR(BUNDESLIGA!G249="",BUNDESLIGA!H249=""),"",IF(BUNDESLIGA!G249&lt;BUNDESLIGA!H249,"",IF(BUNDESLIGA!G249&gt;BUNDESLIGA!H249,"","")))</f>
        <v>Fortuna Düsseldorf</v>
      </c>
      <c r="I67" s="161" t="str">
        <f>IF(BUNDESLIGA!G249&lt;&gt;"",BUNDESLIGA!G249&amp;" - "&amp;BUNDESLIGA!H249,"")</f>
        <v>0 - 2</v>
      </c>
      <c r="J67" s="162"/>
      <c r="L67" s="71" t="str">
        <f>BUNDESLIGA!F304&amp;IF(OR(BUNDESLIGA!G304="",BUNDESLIGA!H304=""),"",IF(BUNDESLIGA!G304&gt;BUNDESLIGA!H304,"",IF(BUNDESLIGA!G304&lt;BUNDESLIGA!H304,"","")))</f>
        <v>RB Leipzig</v>
      </c>
      <c r="M67" s="72" t="str">
        <f>BUNDESLIGA!I304&amp;IF(OR(BUNDESLIGA!G304="",BUNDESLIGA!H304=""),"",IF(BUNDESLIGA!G304&lt;BUNDESLIGA!H304,"",IF(BUNDESLIGA!G304&gt;BUNDESLIGA!H304,"","")))</f>
        <v>Hertha BSC</v>
      </c>
      <c r="N67" s="161" t="str">
        <f>IF(BUNDESLIGA!G304&lt;&gt;"",BUNDESLIGA!G304&amp;" - "&amp;BUNDESLIGA!H304,"")</f>
        <v/>
      </c>
      <c r="O67" s="162"/>
      <c r="Q67" s="71" t="str">
        <f>BUNDESLIGA!F359&amp;IF(OR(BUNDESLIGA!G359="",BUNDESLIGA!H359=""),"",IF(BUNDESLIGA!G359&gt;BUNDESLIGA!H359,"",IF(BUNDESLIGA!G359&lt;BUNDESLIGA!H359,"","")))</f>
        <v>FC Schalke 04</v>
      </c>
      <c r="R67" s="72" t="str">
        <f>BUNDESLIGA!I359&amp;IF(OR(BUNDESLIGA!G359="",BUNDESLIGA!H359=""),"",IF(BUNDESLIGA!G359&lt;BUNDESLIGA!H359,"",IF(BUNDESLIGA!G359&gt;BUNDESLIGA!H359,"","")))</f>
        <v>VfL Wolfsburg</v>
      </c>
      <c r="S67" s="161" t="str">
        <f>IF(BUNDESLIGA!G359&lt;&gt;"",BUNDESLIGA!G359&amp;" - "&amp;BUNDESLIGA!H359,"")</f>
        <v/>
      </c>
      <c r="T67" s="162"/>
    </row>
    <row r="68" spans="2:20" x14ac:dyDescent="0.25">
      <c r="B68" s="71" t="str">
        <f>BUNDESLIGA!F195&amp;IF(OR(BUNDESLIGA!G195="",BUNDESLIGA!H195=""),"",IF(BUNDESLIGA!G195&gt;BUNDESLIGA!H195,"",IF(BUNDESLIGA!G195&lt;BUNDESLIGA!H195,"","")))</f>
        <v>1. FC Köln</v>
      </c>
      <c r="C68" s="72" t="str">
        <f>BUNDESLIGA!I195&amp;IF(OR(BUNDESLIGA!G195="",BUNDESLIGA!H195=""),"",IF(BUNDESLIGA!G195&lt;BUNDESLIGA!H195,"",IF(BUNDESLIGA!G195&gt;BUNDESLIGA!H195,"","")))</f>
        <v>VfL Wolfsburg</v>
      </c>
      <c r="D68" s="161" t="str">
        <f>IF(BUNDESLIGA!G195&lt;&gt;"",BUNDESLIGA!G195&amp;" - "&amp;BUNDESLIGA!H195,"")</f>
        <v>3 - 1</v>
      </c>
      <c r="E68" s="162"/>
      <c r="G68" s="71" t="str">
        <f>BUNDESLIGA!F250&amp;IF(OR(BUNDESLIGA!G250="",BUNDESLIGA!H250=""),"",IF(BUNDESLIGA!G250&gt;BUNDESLIGA!H250,"",IF(BUNDESLIGA!G250&lt;BUNDESLIGA!H250,"","")))</f>
        <v>VfL Wolfsburg</v>
      </c>
      <c r="H68" s="72" t="str">
        <f>BUNDESLIGA!I250&amp;IF(OR(BUNDESLIGA!G250="",BUNDESLIGA!H250=""),"",IF(BUNDESLIGA!G250&lt;BUNDESLIGA!H250,"",IF(BUNDESLIGA!G250&gt;BUNDESLIGA!H250,"","")))</f>
        <v>1. FSV Mainz 05</v>
      </c>
      <c r="I68" s="161" t="str">
        <f>IF(BUNDESLIGA!G250&lt;&gt;"",BUNDESLIGA!G250&amp;" - "&amp;BUNDESLIGA!H250,"")</f>
        <v>4 - 0</v>
      </c>
      <c r="J68" s="162"/>
      <c r="L68" s="71" t="str">
        <f>BUNDESLIGA!F305&amp;IF(OR(BUNDESLIGA!G305="",BUNDESLIGA!H305=""),"",IF(BUNDESLIGA!G305&gt;BUNDESLIGA!H305,"",IF(BUNDESLIGA!G305&lt;BUNDESLIGA!H305,"","")))</f>
        <v>1. FC Union Berlin</v>
      </c>
      <c r="M68" s="72" t="str">
        <f>BUNDESLIGA!I305&amp;IF(OR(BUNDESLIGA!G305="",BUNDESLIGA!H305=""),"",IF(BUNDESLIGA!G305&lt;BUNDESLIGA!H305,"",IF(BUNDESLIGA!G305&gt;BUNDESLIGA!H305,"","")))</f>
        <v>1. FSV Mainz 05</v>
      </c>
      <c r="N68" s="161" t="str">
        <f>IF(BUNDESLIGA!G305&lt;&gt;"",BUNDESLIGA!G305&amp;" - "&amp;BUNDESLIGA!H305,"")</f>
        <v/>
      </c>
      <c r="O68" s="162"/>
      <c r="Q68" s="71" t="str">
        <f>BUNDESLIGA!F360&amp;IF(OR(BUNDESLIGA!G360="",BUNDESLIGA!H360=""),"",IF(BUNDESLIGA!G360&gt;BUNDESLIGA!H360,"",IF(BUNDESLIGA!G360&lt;BUNDESLIGA!H360,"","")))</f>
        <v>1. FC Köln</v>
      </c>
      <c r="R68" s="72" t="str">
        <f>BUNDESLIGA!I360&amp;IF(OR(BUNDESLIGA!G360="",BUNDESLIGA!H360=""),"",IF(BUNDESLIGA!G360&lt;BUNDESLIGA!H360,"",IF(BUNDESLIGA!G360&gt;BUNDESLIGA!H360,"","")))</f>
        <v>Eintracht Frankfurt</v>
      </c>
      <c r="S68" s="161" t="str">
        <f>IF(BUNDESLIGA!G360&lt;&gt;"",BUNDESLIGA!G360&amp;" - "&amp;BUNDESLIGA!H360,"")</f>
        <v/>
      </c>
      <c r="T68" s="162"/>
    </row>
    <row r="69" spans="2:20" x14ac:dyDescent="0.25">
      <c r="B69" s="71" t="str">
        <f>BUNDESLIGA!F196&amp;IF(OR(BUNDESLIGA!G196="",BUNDESLIGA!H196=""),"",IF(BUNDESLIGA!G196&gt;BUNDESLIGA!H196,"",IF(BUNDESLIGA!G196&lt;BUNDESLIGA!H196,"","")))</f>
        <v>1899 Hoffenheim</v>
      </c>
      <c r="C69" s="72" t="str">
        <f>BUNDESLIGA!I196&amp;IF(OR(BUNDESLIGA!G196="",BUNDESLIGA!H196=""),"",IF(BUNDESLIGA!G196&lt;BUNDESLIGA!H196,"",IF(BUNDESLIGA!G196&gt;BUNDESLIGA!H196,"","")))</f>
        <v>Eintracht Frankfurt</v>
      </c>
      <c r="D69" s="161" t="str">
        <f>IF(BUNDESLIGA!G196&lt;&gt;"",BUNDESLIGA!G196&amp;" - "&amp;BUNDESLIGA!H196,"")</f>
        <v>1 - 2</v>
      </c>
      <c r="E69" s="162"/>
      <c r="G69" s="71" t="str">
        <f>BUNDESLIGA!F251&amp;IF(OR(BUNDESLIGA!G251="",BUNDESLIGA!H251=""),"",IF(BUNDESLIGA!G251&gt;BUNDESLIGA!H251,"",IF(BUNDESLIGA!G251&lt;BUNDESLIGA!H251,"","")))</f>
        <v>Bayer Leverkusen</v>
      </c>
      <c r="H69" s="72" t="str">
        <f>BUNDESLIGA!I251&amp;IF(OR(BUNDESLIGA!G251="",BUNDESLIGA!H251=""),"",IF(BUNDESLIGA!G251&lt;BUNDESLIGA!H251,"",IF(BUNDESLIGA!G251&gt;BUNDESLIGA!H251,"","")))</f>
        <v>FC Augsburg</v>
      </c>
      <c r="I69" s="161" t="str">
        <f>IF(BUNDESLIGA!G251&lt;&gt;"",BUNDESLIGA!G251&amp;" - "&amp;BUNDESLIGA!H251,"")</f>
        <v>2 - 0</v>
      </c>
      <c r="J69" s="162"/>
      <c r="L69" s="71" t="str">
        <f>BUNDESLIGA!F306&amp;IF(OR(BUNDESLIGA!G306="",BUNDESLIGA!H306=""),"",IF(BUNDESLIGA!G306&gt;BUNDESLIGA!H306,"",IF(BUNDESLIGA!G306&lt;BUNDESLIGA!H306,"","")))</f>
        <v>Eintracht Frankfurt</v>
      </c>
      <c r="M69" s="72" t="str">
        <f>BUNDESLIGA!I306&amp;IF(OR(BUNDESLIGA!G306="",BUNDESLIGA!H306=""),"",IF(BUNDESLIGA!G306&lt;BUNDESLIGA!H306,"",IF(BUNDESLIGA!G306&gt;BUNDESLIGA!H306,"","")))</f>
        <v>SC Freiburg</v>
      </c>
      <c r="N69" s="161" t="str">
        <f>IF(BUNDESLIGA!G306&lt;&gt;"",BUNDESLIGA!G306&amp;" - "&amp;BUNDESLIGA!H306,"")</f>
        <v/>
      </c>
      <c r="O69" s="162"/>
      <c r="Q69" s="71" t="str">
        <f>BUNDESLIGA!F361&amp;IF(OR(BUNDESLIGA!G361="",BUNDESLIGA!H361=""),"",IF(BUNDESLIGA!G361&gt;BUNDESLIGA!H361,"",IF(BUNDESLIGA!G361&lt;BUNDESLIGA!H361,"","")))</f>
        <v>1. FSV Mainz 05</v>
      </c>
      <c r="R69" s="72" t="str">
        <f>BUNDESLIGA!I361&amp;IF(OR(BUNDESLIGA!G361="",BUNDESLIGA!H361=""),"",IF(BUNDESLIGA!G361&lt;BUNDESLIGA!H361,"",IF(BUNDESLIGA!G361&gt;BUNDESLIGA!H361,"","")))</f>
        <v>Werder Bremen</v>
      </c>
      <c r="S69" s="161" t="str">
        <f>IF(BUNDESLIGA!G361&lt;&gt;"",BUNDESLIGA!G361&amp;" - "&amp;BUNDESLIGA!H361,"")</f>
        <v/>
      </c>
      <c r="T69" s="162"/>
    </row>
    <row r="70" spans="2:20" x14ac:dyDescent="0.25">
      <c r="B70" s="71" t="str">
        <f>BUNDESLIGA!F197&amp;IF(OR(BUNDESLIGA!G197="",BUNDESLIGA!H197=""),"",IF(BUNDESLIGA!G197&gt;BUNDESLIGA!H197,"",IF(BUNDESLIGA!G197&lt;BUNDESLIGA!H197,"","")))</f>
        <v>Fortuna Düsseldorf</v>
      </c>
      <c r="C70" s="72" t="str">
        <f>BUNDESLIGA!I197&amp;IF(OR(BUNDESLIGA!G197="",BUNDESLIGA!H197=""),"",IF(BUNDESLIGA!G197&lt;BUNDESLIGA!H197,"",IF(BUNDESLIGA!G197&gt;BUNDESLIGA!H197,"","")))</f>
        <v>Werder Bremen</v>
      </c>
      <c r="D70" s="161" t="str">
        <f>IF(BUNDESLIGA!G197&lt;&gt;"",BUNDESLIGA!G197&amp;" - "&amp;BUNDESLIGA!H197,"")</f>
        <v>0 - 1</v>
      </c>
      <c r="E70" s="162"/>
      <c r="G70" s="71" t="str">
        <f>BUNDESLIGA!F252&amp;IF(OR(BUNDESLIGA!G252="",BUNDESLIGA!H252=""),"",IF(BUNDESLIGA!G252&gt;BUNDESLIGA!H252,"",IF(BUNDESLIGA!G252&lt;BUNDESLIGA!H252,"","")))</f>
        <v>Hertha BSC</v>
      </c>
      <c r="H70" s="72" t="str">
        <f>BUNDESLIGA!I252&amp;IF(OR(BUNDESLIGA!G252="",BUNDESLIGA!H252=""),"",IF(BUNDESLIGA!G252&lt;BUNDESLIGA!H252,"",IF(BUNDESLIGA!G252&gt;BUNDESLIGA!H252,"","")))</f>
        <v>1. FC Köln</v>
      </c>
      <c r="I70" s="161" t="str">
        <f>IF(BUNDESLIGA!G252&lt;&gt;"",BUNDESLIGA!G252&amp;" - "&amp;BUNDESLIGA!H252,"")</f>
        <v>0 - 5</v>
      </c>
      <c r="J70" s="162"/>
      <c r="L70" s="71" t="str">
        <f>BUNDESLIGA!F307&amp;IF(OR(BUNDESLIGA!G307="",BUNDESLIGA!H307=""),"",IF(BUNDESLIGA!G307&gt;BUNDESLIGA!H307,"",IF(BUNDESLIGA!G307&lt;BUNDESLIGA!H307,"","")))</f>
        <v>Fortuna Düsseldorf</v>
      </c>
      <c r="M70" s="72" t="str">
        <f>BUNDESLIGA!I307&amp;IF(OR(BUNDESLIGA!G307="",BUNDESLIGA!H307=""),"",IF(BUNDESLIGA!G307&lt;BUNDESLIGA!H307,"",IF(BUNDESLIGA!G307&gt;BUNDESLIGA!H307,"","")))</f>
        <v>FC Schalke 04</v>
      </c>
      <c r="N70" s="161" t="str">
        <f>IF(BUNDESLIGA!G307&lt;&gt;"",BUNDESLIGA!G307&amp;" - "&amp;BUNDESLIGA!H307,"")</f>
        <v/>
      </c>
      <c r="O70" s="162"/>
      <c r="Q70" s="71" t="str">
        <f>BUNDESLIGA!F362&amp;IF(OR(BUNDESLIGA!G362="",BUNDESLIGA!H362=""),"",IF(BUNDESLIGA!G362&gt;BUNDESLIGA!H362,"",IF(BUNDESLIGA!G362&lt;BUNDESLIGA!H362,"","")))</f>
        <v>Bayern München</v>
      </c>
      <c r="R70" s="72" t="str">
        <f>BUNDESLIGA!I362&amp;IF(OR(BUNDESLIGA!G362="",BUNDESLIGA!H362=""),"",IF(BUNDESLIGA!G362&lt;BUNDESLIGA!H362,"",IF(BUNDESLIGA!G362&gt;BUNDESLIGA!H362,"","")))</f>
        <v>SC Freiburg</v>
      </c>
      <c r="S70" s="161" t="str">
        <f>IF(BUNDESLIGA!G362&lt;&gt;"",BUNDESLIGA!G362&amp;" - "&amp;BUNDESLIGA!H362,"")</f>
        <v/>
      </c>
      <c r="T70" s="162"/>
    </row>
    <row r="71" spans="2:20" x14ac:dyDescent="0.25">
      <c r="B71" s="71" t="str">
        <f>BUNDESLIGA!F198&amp;IF(OR(BUNDESLIGA!G198="",BUNDESLIGA!H198=""),"",IF(BUNDESLIGA!G198&gt;BUNDESLIGA!H198,"",IF(BUNDESLIGA!G198&lt;BUNDESLIGA!H198,"","")))</f>
        <v>1. FSV Mainz 05</v>
      </c>
      <c r="C71" s="72" t="str">
        <f>BUNDESLIGA!I198&amp;IF(OR(BUNDESLIGA!G198="",BUNDESLIGA!H198=""),"",IF(BUNDESLIGA!G198&lt;BUNDESLIGA!H198,"",IF(BUNDESLIGA!G198&gt;BUNDESLIGA!H198,"","")))</f>
        <v>SC Freiburg</v>
      </c>
      <c r="D71" s="161" t="str">
        <f>IF(BUNDESLIGA!G198&lt;&gt;"",BUNDESLIGA!G198&amp;" - "&amp;BUNDESLIGA!H198,"")</f>
        <v>1 - 2</v>
      </c>
      <c r="E71" s="162"/>
      <c r="G71" s="71" t="str">
        <f>BUNDESLIGA!F253&amp;IF(OR(BUNDESLIGA!G253="",BUNDESLIGA!H253=""),"",IF(BUNDESLIGA!G253&gt;BUNDESLIGA!H253,"",IF(BUNDESLIGA!G253&lt;BUNDESLIGA!H253,"","")))</f>
        <v>Bayern München</v>
      </c>
      <c r="H71" s="72" t="str">
        <f>BUNDESLIGA!I253&amp;IF(OR(BUNDESLIGA!G253="",BUNDESLIGA!H253=""),"",IF(BUNDESLIGA!G253&lt;BUNDESLIGA!H253,"",IF(BUNDESLIGA!G253&gt;BUNDESLIGA!H253,"","")))</f>
        <v>SC Paderborn 07</v>
      </c>
      <c r="I71" s="161" t="str">
        <f>IF(BUNDESLIGA!G253&lt;&gt;"",BUNDESLIGA!G253&amp;" - "&amp;BUNDESLIGA!H253,"")</f>
        <v>3 - 2</v>
      </c>
      <c r="J71" s="162"/>
      <c r="L71" s="71" t="str">
        <f>BUNDESLIGA!F308&amp;IF(OR(BUNDESLIGA!G308="",BUNDESLIGA!H308=""),"",IF(BUNDESLIGA!G308&gt;BUNDESLIGA!H308,"",IF(BUNDESLIGA!G308&lt;BUNDESLIGA!H308,"","")))</f>
        <v>1899 Hoffenheim</v>
      </c>
      <c r="M71" s="72" t="str">
        <f>BUNDESLIGA!I308&amp;IF(OR(BUNDESLIGA!G308="",BUNDESLIGA!H308=""),"",IF(BUNDESLIGA!G308&lt;BUNDESLIGA!H308,"",IF(BUNDESLIGA!G308&gt;BUNDESLIGA!H308,"","")))</f>
        <v>1. FC Köln</v>
      </c>
      <c r="N71" s="161" t="str">
        <f>IF(BUNDESLIGA!G308&lt;&gt;"",BUNDESLIGA!G308&amp;" - "&amp;BUNDESLIGA!H308,"")</f>
        <v/>
      </c>
      <c r="O71" s="162"/>
      <c r="Q71" s="71" t="str">
        <f>BUNDESLIGA!F363&amp;IF(OR(BUNDESLIGA!G363="",BUNDESLIGA!H363=""),"",IF(BUNDESLIGA!G363&gt;BUNDESLIGA!H363,"",IF(BUNDESLIGA!G363&lt;BUNDESLIGA!H363,"","")))</f>
        <v>Fortuna Düsseldorf</v>
      </c>
      <c r="R71" s="72" t="str">
        <f>BUNDESLIGA!I363&amp;IF(OR(BUNDESLIGA!G363="",BUNDESLIGA!H363=""),"",IF(BUNDESLIGA!G363&lt;BUNDESLIGA!H363,"",IF(BUNDESLIGA!G363&gt;BUNDESLIGA!H363,"","")))</f>
        <v>FC Augsburg</v>
      </c>
      <c r="S71" s="161" t="str">
        <f>IF(BUNDESLIGA!G363&lt;&gt;"",BUNDESLIGA!G363&amp;" - "&amp;BUNDESLIGA!H363,"")</f>
        <v/>
      </c>
      <c r="T71" s="162"/>
    </row>
    <row r="72" spans="2:20" x14ac:dyDescent="0.25">
      <c r="B72" s="71" t="str">
        <f>BUNDESLIGA!F199&amp;IF(OR(BUNDESLIGA!G199="",BUNDESLIGA!H199=""),"",IF(BUNDESLIGA!G199&gt;BUNDESLIGA!H199,"",IF(BUNDESLIGA!G199&lt;BUNDESLIGA!H199,"","")))</f>
        <v>RB Leipzig</v>
      </c>
      <c r="C72" s="72" t="str">
        <f>BUNDESLIGA!I199&amp;IF(OR(BUNDESLIGA!G199="",BUNDESLIGA!H199=""),"",IF(BUNDESLIGA!G199&lt;BUNDESLIGA!H199,"",IF(BUNDESLIGA!G199&gt;BUNDESLIGA!H199,"","")))</f>
        <v>1. FC Union Berlin</v>
      </c>
      <c r="D72" s="161" t="str">
        <f>IF(BUNDESLIGA!G199&lt;&gt;"",BUNDESLIGA!G199&amp;" - "&amp;BUNDESLIGA!H199,"")</f>
        <v>3 - 1</v>
      </c>
      <c r="E72" s="162"/>
      <c r="G72" s="71" t="str">
        <f>BUNDESLIGA!F254&amp;IF(OR(BUNDESLIGA!G254="",BUNDESLIGA!H254=""),"",IF(BUNDESLIGA!G254&gt;BUNDESLIGA!H254,"",IF(BUNDESLIGA!G254&lt;BUNDESLIGA!H254,"","")))</f>
        <v>Eintracht Frankfurt</v>
      </c>
      <c r="H72" s="72" t="str">
        <f>BUNDESLIGA!I254&amp;IF(OR(BUNDESLIGA!G254="",BUNDESLIGA!H254=""),"",IF(BUNDESLIGA!G254&lt;BUNDESLIGA!H254,"",IF(BUNDESLIGA!G254&gt;BUNDESLIGA!H254,"","")))</f>
        <v>1. FC Union Berlin</v>
      </c>
      <c r="I72" s="161" t="str">
        <f>IF(BUNDESLIGA!G254&lt;&gt;"",BUNDESLIGA!G254&amp;" - "&amp;BUNDESLIGA!H254,"")</f>
        <v>1 - 2</v>
      </c>
      <c r="J72" s="162"/>
      <c r="L72" s="71" t="str">
        <f>BUNDESLIGA!F309&amp;IF(OR(BUNDESLIGA!G309="",BUNDESLIGA!H309=""),"",IF(BUNDESLIGA!G309&gt;BUNDESLIGA!H309,"",IF(BUNDESLIGA!G309&lt;BUNDESLIGA!H309,"","")))</f>
        <v>FC Augsburg</v>
      </c>
      <c r="M72" s="72" t="str">
        <f>BUNDESLIGA!I309&amp;IF(OR(BUNDESLIGA!G309="",BUNDESLIGA!H309=""),"",IF(BUNDESLIGA!G309&lt;BUNDESLIGA!H309,"",IF(BUNDESLIGA!G309&gt;BUNDESLIGA!H309,"","")))</f>
        <v>SC Paderborn 07</v>
      </c>
      <c r="N72" s="161" t="str">
        <f>IF(BUNDESLIGA!G309&lt;&gt;"",BUNDESLIGA!G309&amp;" - "&amp;BUNDESLIGA!H309,"")</f>
        <v/>
      </c>
      <c r="O72" s="162"/>
      <c r="Q72" s="71" t="str">
        <f>BUNDESLIGA!F364&amp;IF(OR(BUNDESLIGA!G364="",BUNDESLIGA!H364=""),"",IF(BUNDESLIGA!G364&gt;BUNDESLIGA!H364,"",IF(BUNDESLIGA!G364&lt;BUNDESLIGA!H364,"","")))</f>
        <v>1899 Hoffenheim</v>
      </c>
      <c r="R72" s="72" t="str">
        <f>BUNDESLIGA!I364&amp;IF(OR(BUNDESLIGA!G364="",BUNDESLIGA!H364=""),"",IF(BUNDESLIGA!G364&lt;BUNDESLIGA!H364,"",IF(BUNDESLIGA!G364&gt;BUNDESLIGA!H364,"","")))</f>
        <v>1. FC Union Berlin</v>
      </c>
      <c r="S72" s="161" t="str">
        <f>IF(BUNDESLIGA!G364&lt;&gt;"",BUNDESLIGA!G364&amp;" - "&amp;BUNDESLIGA!H364,"")</f>
        <v/>
      </c>
      <c r="T72" s="162"/>
    </row>
    <row r="73" spans="2:20" x14ac:dyDescent="0.25">
      <c r="B73" s="60" t="str">
        <f>BUNDESLIGA!F200&amp;IF(OR(BUNDESLIGA!G200="",BUNDESLIGA!H200=""),"",IF(BUNDESLIGA!G200&gt;BUNDESLIGA!H200,"",IF(BUNDESLIGA!G200&lt;BUNDESLIGA!H200,"","")))</f>
        <v/>
      </c>
      <c r="C73" s="60" t="str">
        <f>BUNDESLIGA!I200&amp;IF(OR(BUNDESLIGA!G200="",BUNDESLIGA!H200=""),"",IF(BUNDESLIGA!G200&lt;BUNDESLIGA!H200,"",IF(BUNDESLIGA!G200&gt;BUNDESLIGA!H200,"","")))</f>
        <v/>
      </c>
      <c r="G73" s="63" t="str">
        <f>BUNDESLIGA!F255&amp;IF(OR(BUNDESLIGA!G255="",BUNDESLIGA!H255=""),"",IF(BUNDESLIGA!G255&gt;BUNDESLIGA!H255,"",IF(BUNDESLIGA!G255&lt;BUNDESLIGA!H255,"","")))</f>
        <v/>
      </c>
      <c r="H73" s="63" t="str">
        <f>BUNDESLIGA!I255&amp;IF(OR(BUNDESLIGA!G255="",BUNDESLIGA!H255=""),"",IF(BUNDESLIGA!G255&lt;BUNDESLIGA!H255,"",IF(BUNDESLIGA!G255&gt;BUNDESLIGA!H255,"","")))</f>
        <v/>
      </c>
      <c r="I73" s="63"/>
      <c r="J73" s="63"/>
      <c r="L73" s="60" t="str">
        <f>BUNDESLIGA!F310&amp;IF(OR(BUNDESLIGA!G310="",BUNDESLIGA!H310=""),"",IF(BUNDESLIGA!G310&gt;BUNDESLIGA!H310,"",IF(BUNDESLIGA!G310&lt;BUNDESLIGA!H310,"","")))</f>
        <v/>
      </c>
      <c r="M73" s="60" t="str">
        <f>BUNDESLIGA!I310&amp;IF(OR(BUNDESLIGA!G310="",BUNDESLIGA!H310=""),"",IF(BUNDESLIGA!G310&lt;BUNDESLIGA!H310,"",IF(BUNDESLIGA!G310&gt;BUNDESLIGA!H310,"","")))</f>
        <v/>
      </c>
      <c r="Q73" s="60" t="str">
        <f>BUNDESLIGA!F365&amp;IF(OR(BUNDESLIGA!G365="",BUNDESLIGA!H365=""),"",IF(BUNDESLIGA!G365&gt;BUNDESLIGA!H365,"",IF(BUNDESLIGA!G365&lt;BUNDESLIGA!H365,"","")))</f>
        <v/>
      </c>
      <c r="R73" s="60" t="str">
        <f>BUNDESLIGA!I365&amp;IF(OR(BUNDESLIGA!G365="",BUNDESLIGA!H365=""),"",IF(BUNDESLIGA!G365&lt;BUNDESLIGA!H365,"",IF(BUNDESLIGA!G365&gt;BUNDESLIGA!H365,"","")))</f>
        <v/>
      </c>
    </row>
    <row r="74" spans="2:20" x14ac:dyDescent="0.25">
      <c r="B74" s="158" t="s">
        <v>58</v>
      </c>
      <c r="C74" s="159"/>
      <c r="D74" s="159"/>
      <c r="E74" s="160"/>
      <c r="G74" s="158" t="str">
        <f>BUNDESLIGA!F256&amp;IF(OR(BUNDESLIGA!G256="",BUNDESLIGA!H256=""),"",IF(BUNDESLIGA!G256&gt;BUNDESLIGA!H256,"",IF(BUNDESLIGA!G256&lt;BUNDESLIGA!H256,"","")))</f>
        <v>JOURNEE 24</v>
      </c>
      <c r="H74" s="159"/>
      <c r="I74" s="159"/>
      <c r="J74" s="160"/>
      <c r="L74" s="158" t="str">
        <f>BUNDESLIGA!F311&amp;IF(OR(BUNDESLIGA!G311="",BUNDESLIGA!H311=""),"",IF(BUNDESLIGA!G311&gt;BUNDESLIGA!H311,"",IF(BUNDESLIGA!G311&lt;BUNDESLIGA!H311,"","")))</f>
        <v>JOURNEE 29</v>
      </c>
      <c r="M74" s="159"/>
      <c r="N74" s="159"/>
      <c r="O74" s="160"/>
      <c r="Q74" s="158" t="str">
        <f>BUNDESLIGA!F366&amp;IF(OR(BUNDESLIGA!G366="",BUNDESLIGA!H366=""),"",IF(BUNDESLIGA!G366&gt;BUNDESLIGA!H366,"",IF(BUNDESLIGA!G366&lt;BUNDESLIGA!H366,"","")))</f>
        <v>JOURNEE 34</v>
      </c>
      <c r="R74" s="159"/>
      <c r="S74" s="159"/>
      <c r="T74" s="160"/>
    </row>
    <row r="75" spans="2:20" x14ac:dyDescent="0.25">
      <c r="B75" s="71" t="str">
        <f>BUNDESLIGA!F202&amp;IF(OR(BUNDESLIGA!G202="",BUNDESLIGA!H202=""),"",IF(BUNDESLIGA!G202&gt;BUNDESLIGA!H202,"",IF(BUNDESLIGA!G202&lt;BUNDESLIGA!H202,"","")))</f>
        <v>Eintracht Frankfurt</v>
      </c>
      <c r="C75" s="72" t="str">
        <f>BUNDESLIGA!I202&amp;IF(OR(BUNDESLIGA!G202="",BUNDESLIGA!H202=""),"",IF(BUNDESLIGA!G202&lt;BUNDESLIGA!H202,"",IF(BUNDESLIGA!G202&gt;BUNDESLIGA!H202,"","")))</f>
        <v>RB Leipzig</v>
      </c>
      <c r="D75" s="161" t="str">
        <f>IF(BUNDESLIGA!G202&lt;&gt;"",BUNDESLIGA!G202&amp;" - "&amp;BUNDESLIGA!H202,"")</f>
        <v>2 - 0</v>
      </c>
      <c r="E75" s="162"/>
      <c r="G75" s="71" t="str">
        <f>BUNDESLIGA!F257&amp;IF(OR(BUNDESLIGA!G257="",BUNDESLIGA!H257=""),"",IF(BUNDESLIGA!G257&gt;BUNDESLIGA!H257,"",IF(BUNDESLIGA!G257&lt;BUNDESLIGA!H257,"","")))</f>
        <v>1899 Hoffenheim</v>
      </c>
      <c r="H75" s="72" t="str">
        <f>BUNDESLIGA!I257&amp;IF(OR(BUNDESLIGA!G257="",BUNDESLIGA!H257=""),"",IF(BUNDESLIGA!G257&lt;BUNDESLIGA!H257,"",IF(BUNDESLIGA!G257&gt;BUNDESLIGA!H257,"","")))</f>
        <v>Bayern München</v>
      </c>
      <c r="I75" s="161" t="str">
        <f>IF(BUNDESLIGA!G257&lt;&gt;"",BUNDESLIGA!G257&amp;" - "&amp;BUNDESLIGA!H257,"")</f>
        <v>0 - 6</v>
      </c>
      <c r="J75" s="162"/>
      <c r="L75" s="71" t="str">
        <f>BUNDESLIGA!F312&amp;IF(OR(BUNDESLIGA!G312="",BUNDESLIGA!H312=""),"",IF(BUNDESLIGA!G312&gt;BUNDESLIGA!H312,"",IF(BUNDESLIGA!G312&lt;BUNDESLIGA!H312,"","")))</f>
        <v>SC Paderborn 07</v>
      </c>
      <c r="M75" s="72" t="str">
        <f>BUNDESLIGA!I312&amp;IF(OR(BUNDESLIGA!G312="",BUNDESLIGA!H312=""),"",IF(BUNDESLIGA!G312&lt;BUNDESLIGA!H312,"",IF(BUNDESLIGA!G312&gt;BUNDESLIGA!H312,"","")))</f>
        <v>Borussia Dortmund</v>
      </c>
      <c r="N75" s="161" t="str">
        <f>IF(BUNDESLIGA!G312&lt;&gt;"",BUNDESLIGA!G312&amp;" - "&amp;BUNDESLIGA!H312,"")</f>
        <v/>
      </c>
      <c r="O75" s="162"/>
      <c r="Q75" s="71" t="str">
        <f>BUNDESLIGA!F367&amp;IF(OR(BUNDESLIGA!G367="",BUNDESLIGA!H367=""),"",IF(BUNDESLIGA!G367&gt;BUNDESLIGA!H367,"",IF(BUNDESLIGA!G367&lt;BUNDESLIGA!H367,"","")))</f>
        <v>VfL Wolfsburg</v>
      </c>
      <c r="R75" s="72" t="str">
        <f>BUNDESLIGA!I367&amp;IF(OR(BUNDESLIGA!G367="",BUNDESLIGA!H367=""),"",IF(BUNDESLIGA!G367&lt;BUNDESLIGA!H367,"",IF(BUNDESLIGA!G367&gt;BUNDESLIGA!H367,"","")))</f>
        <v>Bayern München</v>
      </c>
      <c r="S75" s="161" t="str">
        <f>IF(BUNDESLIGA!G367&lt;&gt;"",BUNDESLIGA!G367&amp;" - "&amp;BUNDESLIGA!H367,"")</f>
        <v/>
      </c>
      <c r="T75" s="162"/>
    </row>
    <row r="76" spans="2:20" x14ac:dyDescent="0.25">
      <c r="B76" s="71" t="str">
        <f>BUNDESLIGA!F203&amp;IF(OR(BUNDESLIGA!G203="",BUNDESLIGA!H203=""),"",IF(BUNDESLIGA!G203&gt;BUNDESLIGA!H203,"",IF(BUNDESLIGA!G203&lt;BUNDESLIGA!H203,"","")))</f>
        <v>Werder Bremen</v>
      </c>
      <c r="C76" s="72" t="str">
        <f>BUNDESLIGA!I203&amp;IF(OR(BUNDESLIGA!G203="",BUNDESLIGA!H203=""),"",IF(BUNDESLIGA!G203&lt;BUNDESLIGA!H203,"",IF(BUNDESLIGA!G203&gt;BUNDESLIGA!H203,"","")))</f>
        <v>1899 Hoffenheim</v>
      </c>
      <c r="D76" s="161" t="str">
        <f>IF(BUNDESLIGA!G203&lt;&gt;"",BUNDESLIGA!G203&amp;" - "&amp;BUNDESLIGA!H203,"")</f>
        <v>0 - 3</v>
      </c>
      <c r="E76" s="162"/>
      <c r="G76" s="71" t="str">
        <f>BUNDESLIGA!F258&amp;IF(OR(BUNDESLIGA!G258="",BUNDESLIGA!H258=""),"",IF(BUNDESLIGA!G258&gt;BUNDESLIGA!H258,"",IF(BUNDESLIGA!G258&lt;BUNDESLIGA!H258,"","")))</f>
        <v>RB Leipzig</v>
      </c>
      <c r="H76" s="72" t="str">
        <f>BUNDESLIGA!I258&amp;IF(OR(BUNDESLIGA!G258="",BUNDESLIGA!H258=""),"",IF(BUNDESLIGA!G258&lt;BUNDESLIGA!H258,"",IF(BUNDESLIGA!G258&gt;BUNDESLIGA!H258,"","")))</f>
        <v>Bayer Leverkusen</v>
      </c>
      <c r="I76" s="161" t="str">
        <f>IF(BUNDESLIGA!G258&lt;&gt;"",BUNDESLIGA!G258&amp;" - "&amp;BUNDESLIGA!H258,"")</f>
        <v>1 - 1</v>
      </c>
      <c r="J76" s="162"/>
      <c r="L76" s="71" t="str">
        <f>BUNDESLIGA!F313&amp;IF(OR(BUNDESLIGA!G313="",BUNDESLIGA!H313=""),"",IF(BUNDESLIGA!G313&gt;BUNDESLIGA!H313,"",IF(BUNDESLIGA!G313&lt;BUNDESLIGA!H313,"","")))</f>
        <v>1. FC Köln</v>
      </c>
      <c r="M76" s="72" t="str">
        <f>BUNDESLIGA!I313&amp;IF(OR(BUNDESLIGA!G313="",BUNDESLIGA!H313=""),"",IF(BUNDESLIGA!G313&lt;BUNDESLIGA!H313,"",IF(BUNDESLIGA!G313&gt;BUNDESLIGA!H313,"","")))</f>
        <v>RB Leipzig</v>
      </c>
      <c r="N76" s="161" t="str">
        <f>IF(BUNDESLIGA!G313&lt;&gt;"",BUNDESLIGA!G313&amp;" - "&amp;BUNDESLIGA!H313,"")</f>
        <v/>
      </c>
      <c r="O76" s="162"/>
      <c r="Q76" s="71" t="str">
        <f>BUNDESLIGA!F368&amp;IF(OR(BUNDESLIGA!G368="",BUNDESLIGA!H368=""),"",IF(BUNDESLIGA!G368&gt;BUNDESLIGA!H368,"",IF(BUNDESLIGA!G368&lt;BUNDESLIGA!H368,"","")))</f>
        <v>FC Augsburg</v>
      </c>
      <c r="R76" s="72" t="str">
        <f>BUNDESLIGA!I368&amp;IF(OR(BUNDESLIGA!G368="",BUNDESLIGA!H368=""),"",IF(BUNDESLIGA!G368&lt;BUNDESLIGA!H368,"",IF(BUNDESLIGA!G368&gt;BUNDESLIGA!H368,"","")))</f>
        <v>RB Leipzig</v>
      </c>
      <c r="S76" s="161" t="str">
        <f>IF(BUNDESLIGA!G368&lt;&gt;"",BUNDESLIGA!G368&amp;" - "&amp;BUNDESLIGA!H368,"")</f>
        <v/>
      </c>
      <c r="T76" s="162"/>
    </row>
    <row r="77" spans="2:20" x14ac:dyDescent="0.25">
      <c r="B77" s="71" t="str">
        <f>BUNDESLIGA!F204&amp;IF(OR(BUNDESLIGA!G204="",BUNDESLIGA!H204=""),"",IF(BUNDESLIGA!G204&gt;BUNDESLIGA!H204,"",IF(BUNDESLIGA!G204&lt;BUNDESLIGA!H204,"","")))</f>
        <v>Bayer Leverkusen</v>
      </c>
      <c r="C77" s="72" t="str">
        <f>BUNDESLIGA!I204&amp;IF(OR(BUNDESLIGA!G204="",BUNDESLIGA!H204=""),"",IF(BUNDESLIGA!G204&lt;BUNDESLIGA!H204,"",IF(BUNDESLIGA!G204&gt;BUNDESLIGA!H204,"","")))</f>
        <v>Fortuna Düsseldorf</v>
      </c>
      <c r="D77" s="161" t="str">
        <f>IF(BUNDESLIGA!G204&lt;&gt;"",BUNDESLIGA!G204&amp;" - "&amp;BUNDESLIGA!H204,"")</f>
        <v>3 - 0</v>
      </c>
      <c r="E77" s="162"/>
      <c r="G77" s="71" t="str">
        <f>BUNDESLIGA!F259&amp;IF(OR(BUNDESLIGA!G259="",BUNDESLIGA!H259=""),"",IF(BUNDESLIGA!G259&gt;BUNDESLIGA!H259,"",IF(BUNDESLIGA!G259&lt;BUNDESLIGA!H259,"","")))</f>
        <v>FC Augsburg</v>
      </c>
      <c r="H77" s="72" t="str">
        <f>BUNDESLIGA!I259&amp;IF(OR(BUNDESLIGA!G259="",BUNDESLIGA!H259=""),"",IF(BUNDESLIGA!G259&lt;BUNDESLIGA!H259,"",IF(BUNDESLIGA!G259&gt;BUNDESLIGA!H259,"","")))</f>
        <v>Bor. Mönchengladbach</v>
      </c>
      <c r="I77" s="161" t="str">
        <f>IF(BUNDESLIGA!G259&lt;&gt;"",BUNDESLIGA!G259&amp;" - "&amp;BUNDESLIGA!H259,"")</f>
        <v>2 - 3</v>
      </c>
      <c r="J77" s="162"/>
      <c r="L77" s="71" t="str">
        <f>BUNDESLIGA!F314&amp;IF(OR(BUNDESLIGA!G314="",BUNDESLIGA!H314=""),"",IF(BUNDESLIGA!G314&gt;BUNDESLIGA!H314,"",IF(BUNDESLIGA!G314&lt;BUNDESLIGA!H314,"","")))</f>
        <v>SC Freiburg</v>
      </c>
      <c r="M77" s="72" t="str">
        <f>BUNDESLIGA!I314&amp;IF(OR(BUNDESLIGA!G314="",BUNDESLIGA!H314=""),"",IF(BUNDESLIGA!G314&lt;BUNDESLIGA!H314,"",IF(BUNDESLIGA!G314&gt;BUNDESLIGA!H314,"","")))</f>
        <v>Bayer Leverkusen</v>
      </c>
      <c r="N77" s="161" t="str">
        <f>IF(BUNDESLIGA!G314&lt;&gt;"",BUNDESLIGA!G314&amp;" - "&amp;BUNDESLIGA!H314,"")</f>
        <v/>
      </c>
      <c r="O77" s="162"/>
      <c r="Q77" s="71" t="str">
        <f>BUNDESLIGA!F369&amp;IF(OR(BUNDESLIGA!G369="",BUNDESLIGA!H369=""),"",IF(BUNDESLIGA!G369&gt;BUNDESLIGA!H369,"",IF(BUNDESLIGA!G369&lt;BUNDESLIGA!H369,"","")))</f>
        <v>Borussia Dortmund</v>
      </c>
      <c r="R77" s="72" t="str">
        <f>BUNDESLIGA!I369&amp;IF(OR(BUNDESLIGA!G369="",BUNDESLIGA!H369=""),"",IF(BUNDESLIGA!G369&lt;BUNDESLIGA!H369,"",IF(BUNDESLIGA!G369&gt;BUNDESLIGA!H369,"","")))</f>
        <v>1899 Hoffenheim</v>
      </c>
      <c r="S77" s="161" t="str">
        <f>IF(BUNDESLIGA!G369&lt;&gt;"",BUNDESLIGA!G369&amp;" - "&amp;BUNDESLIGA!H369,"")</f>
        <v/>
      </c>
      <c r="T77" s="162"/>
    </row>
    <row r="78" spans="2:20" x14ac:dyDescent="0.25">
      <c r="B78" s="71" t="str">
        <f>BUNDESLIGA!F205&amp;IF(OR(BUNDESLIGA!G205="",BUNDESLIGA!H205=""),"",IF(BUNDESLIGA!G205&gt;BUNDESLIGA!H205,"",IF(BUNDESLIGA!G205&lt;BUNDESLIGA!H205,"","")))</f>
        <v>VfL Wolfsburg</v>
      </c>
      <c r="C78" s="72" t="str">
        <f>BUNDESLIGA!I205&amp;IF(OR(BUNDESLIGA!G205="",BUNDESLIGA!H205=""),"",IF(BUNDESLIGA!G205&lt;BUNDESLIGA!H205,"",IF(BUNDESLIGA!G205&gt;BUNDESLIGA!H205,"","")))</f>
        <v>Hertha BSC</v>
      </c>
      <c r="D78" s="161" t="str">
        <f>IF(BUNDESLIGA!G205&lt;&gt;"",BUNDESLIGA!G205&amp;" - "&amp;BUNDESLIGA!H205,"")</f>
        <v>1 - 2</v>
      </c>
      <c r="E78" s="162"/>
      <c r="G78" s="71" t="str">
        <f>BUNDESLIGA!F260&amp;IF(OR(BUNDESLIGA!G260="",BUNDESLIGA!H260=""),"",IF(BUNDESLIGA!G260&gt;BUNDESLIGA!H260,"",IF(BUNDESLIGA!G260&lt;BUNDESLIGA!H260,"","")))</f>
        <v>1. FC Union Berlin</v>
      </c>
      <c r="H78" s="72" t="str">
        <f>BUNDESLIGA!I260&amp;IF(OR(BUNDESLIGA!G260="",BUNDESLIGA!H260=""),"",IF(BUNDESLIGA!G260&lt;BUNDESLIGA!H260,"",IF(BUNDESLIGA!G260&gt;BUNDESLIGA!H260,"","")))</f>
        <v>VfL Wolfsburg</v>
      </c>
      <c r="I78" s="161" t="str">
        <f>IF(BUNDESLIGA!G260&lt;&gt;"",BUNDESLIGA!G260&amp;" - "&amp;BUNDESLIGA!H260,"")</f>
        <v>2 - 2</v>
      </c>
      <c r="J78" s="162"/>
      <c r="L78" s="71" t="str">
        <f>BUNDESLIGA!F315&amp;IF(OR(BUNDESLIGA!G315="",BUNDESLIGA!H315=""),"",IF(BUNDESLIGA!G315&gt;BUNDESLIGA!H315,"",IF(BUNDESLIGA!G315&lt;BUNDESLIGA!H315,"","")))</f>
        <v>VfL Wolfsburg</v>
      </c>
      <c r="M78" s="72" t="str">
        <f>BUNDESLIGA!I315&amp;IF(OR(BUNDESLIGA!G315="",BUNDESLIGA!H315=""),"",IF(BUNDESLIGA!G315&lt;BUNDESLIGA!H315,"",IF(BUNDESLIGA!G315&gt;BUNDESLIGA!H315,"","")))</f>
        <v>Eintracht Frankfurt</v>
      </c>
      <c r="N78" s="161" t="str">
        <f>IF(BUNDESLIGA!G315&lt;&gt;"",BUNDESLIGA!G315&amp;" - "&amp;BUNDESLIGA!H315,"")</f>
        <v/>
      </c>
      <c r="O78" s="162"/>
      <c r="Q78" s="71" t="str">
        <f>BUNDESLIGA!F370&amp;IF(OR(BUNDESLIGA!G370="",BUNDESLIGA!H370=""),"",IF(BUNDESLIGA!G370&gt;BUNDESLIGA!H370,"",IF(BUNDESLIGA!G370&lt;BUNDESLIGA!H370,"","")))</f>
        <v>1. FC Union Berlin</v>
      </c>
      <c r="R78" s="72" t="str">
        <f>BUNDESLIGA!I370&amp;IF(OR(BUNDESLIGA!G370="",BUNDESLIGA!H370=""),"",IF(BUNDESLIGA!G370&lt;BUNDESLIGA!H370,"",IF(BUNDESLIGA!G370&gt;BUNDESLIGA!H370,"","")))</f>
        <v>Fortuna Düsseldorf</v>
      </c>
      <c r="S78" s="161" t="str">
        <f>IF(BUNDESLIGA!G370&lt;&gt;"",BUNDESLIGA!G370&amp;" - "&amp;BUNDESLIGA!H370,"")</f>
        <v/>
      </c>
      <c r="T78" s="162"/>
    </row>
    <row r="79" spans="2:20" x14ac:dyDescent="0.25">
      <c r="B79" s="71" t="str">
        <f>BUNDESLIGA!F206&amp;IF(OR(BUNDESLIGA!G206="",BUNDESLIGA!H206=""),"",IF(BUNDESLIGA!G206&gt;BUNDESLIGA!H206,"",IF(BUNDESLIGA!G206&lt;BUNDESLIGA!H206,"","")))</f>
        <v>Bor. Mönchengladbach</v>
      </c>
      <c r="C79" s="72" t="str">
        <f>BUNDESLIGA!I206&amp;IF(OR(BUNDESLIGA!G206="",BUNDESLIGA!H206=""),"",IF(BUNDESLIGA!G206&lt;BUNDESLIGA!H206,"",IF(BUNDESLIGA!G206&gt;BUNDESLIGA!H206,"","")))</f>
        <v>1. FSV Mainz 05</v>
      </c>
      <c r="D79" s="161" t="str">
        <f>IF(BUNDESLIGA!G206&lt;&gt;"",BUNDESLIGA!G206&amp;" - "&amp;BUNDESLIGA!H206,"")</f>
        <v>3 - 1</v>
      </c>
      <c r="E79" s="162"/>
      <c r="G79" s="71" t="str">
        <f>BUNDESLIGA!F261&amp;IF(OR(BUNDESLIGA!G261="",BUNDESLIGA!H261=""),"",IF(BUNDESLIGA!G261&gt;BUNDESLIGA!H261,"",IF(BUNDESLIGA!G261&lt;BUNDESLIGA!H261,"","")))</f>
        <v>Werder Bremen</v>
      </c>
      <c r="H79" s="72" t="str">
        <f>BUNDESLIGA!I261&amp;IF(OR(BUNDESLIGA!G261="",BUNDESLIGA!H261=""),"",IF(BUNDESLIGA!G261&lt;BUNDESLIGA!H261,"",IF(BUNDESLIGA!G261&gt;BUNDESLIGA!H261,"","")))</f>
        <v>Eintracht Frankfurt</v>
      </c>
      <c r="I79" s="161" t="str">
        <f>IF(BUNDESLIGA!G261&lt;&gt;"",BUNDESLIGA!G261&amp;" - "&amp;BUNDESLIGA!H261,"")</f>
        <v/>
      </c>
      <c r="J79" s="162"/>
      <c r="L79" s="71" t="str">
        <f>BUNDESLIGA!F316&amp;IF(OR(BUNDESLIGA!G316="",BUNDESLIGA!H316=""),"",IF(BUNDESLIGA!G316&gt;BUNDESLIGA!H316,"",IF(BUNDESLIGA!G316&lt;BUNDESLIGA!H316,"","")))</f>
        <v>FC Schalke 04</v>
      </c>
      <c r="M79" s="72" t="str">
        <f>BUNDESLIGA!I316&amp;IF(OR(BUNDESLIGA!G316="",BUNDESLIGA!H316=""),"",IF(BUNDESLIGA!G316&lt;BUNDESLIGA!H316,"",IF(BUNDESLIGA!G316&gt;BUNDESLIGA!H316,"","")))</f>
        <v>Werder Bremen</v>
      </c>
      <c r="N79" s="161" t="str">
        <f>IF(BUNDESLIGA!G316&lt;&gt;"",BUNDESLIGA!G316&amp;" - "&amp;BUNDESLIGA!H316,"")</f>
        <v/>
      </c>
      <c r="O79" s="162"/>
      <c r="Q79" s="71" t="str">
        <f>BUNDESLIGA!F371&amp;IF(OR(BUNDESLIGA!G371="",BUNDESLIGA!H371=""),"",IF(BUNDESLIGA!G371&gt;BUNDESLIGA!H371,"",IF(BUNDESLIGA!G371&lt;BUNDESLIGA!H371,"","")))</f>
        <v>Bor. Mönchengladbach</v>
      </c>
      <c r="R79" s="72" t="str">
        <f>BUNDESLIGA!I371&amp;IF(OR(BUNDESLIGA!G371="",BUNDESLIGA!H371=""),"",IF(BUNDESLIGA!G371&lt;BUNDESLIGA!H371,"",IF(BUNDESLIGA!G371&gt;BUNDESLIGA!H371,"","")))</f>
        <v>Hertha BSC</v>
      </c>
      <c r="S79" s="161" t="str">
        <f>IF(BUNDESLIGA!G371&lt;&gt;"",BUNDESLIGA!G371&amp;" - "&amp;BUNDESLIGA!H371,"")</f>
        <v/>
      </c>
      <c r="T79" s="162"/>
    </row>
    <row r="80" spans="2:20" x14ac:dyDescent="0.25">
      <c r="B80" s="71" t="str">
        <f>BUNDESLIGA!F207&amp;IF(OR(BUNDESLIGA!G207="",BUNDESLIGA!H207=""),"",IF(BUNDESLIGA!G207&gt;BUNDESLIGA!H207,"",IF(BUNDESLIGA!G207&lt;BUNDESLIGA!H207,"","")))</f>
        <v>Bayern München</v>
      </c>
      <c r="C80" s="72" t="str">
        <f>BUNDESLIGA!I207&amp;IF(OR(BUNDESLIGA!G207="",BUNDESLIGA!H207=""),"",IF(BUNDESLIGA!G207&lt;BUNDESLIGA!H207,"",IF(BUNDESLIGA!G207&gt;BUNDESLIGA!H207,"","")))</f>
        <v>FC Schalke 04</v>
      </c>
      <c r="D80" s="161" t="str">
        <f>IF(BUNDESLIGA!G207&lt;&gt;"",BUNDESLIGA!G207&amp;" - "&amp;BUNDESLIGA!H207,"")</f>
        <v>5 - 0</v>
      </c>
      <c r="E80" s="162"/>
      <c r="G80" s="71" t="str">
        <f>BUNDESLIGA!F262&amp;IF(OR(BUNDESLIGA!G262="",BUNDESLIGA!H262=""),"",IF(BUNDESLIGA!G262&gt;BUNDESLIGA!H262,"",IF(BUNDESLIGA!G262&lt;BUNDESLIGA!H262,"","")))</f>
        <v>Fortuna Düsseldorf</v>
      </c>
      <c r="H80" s="72" t="str">
        <f>BUNDESLIGA!I262&amp;IF(OR(BUNDESLIGA!G262="",BUNDESLIGA!H262=""),"",IF(BUNDESLIGA!G262&lt;BUNDESLIGA!H262,"",IF(BUNDESLIGA!G262&gt;BUNDESLIGA!H262,"","")))</f>
        <v>Hertha BSC</v>
      </c>
      <c r="I80" s="161" t="str">
        <f>IF(BUNDESLIGA!G262&lt;&gt;"",BUNDESLIGA!G262&amp;" - "&amp;BUNDESLIGA!H262,"")</f>
        <v>3 - 3</v>
      </c>
      <c r="J80" s="162"/>
      <c r="L80" s="71" t="str">
        <f>BUNDESLIGA!F317&amp;IF(OR(BUNDESLIGA!G317="",BUNDESLIGA!H317=""),"",IF(BUNDESLIGA!G317&gt;BUNDESLIGA!H317,"",IF(BUNDESLIGA!G317&lt;BUNDESLIGA!H317,"","")))</f>
        <v>1. FSV Mainz 05</v>
      </c>
      <c r="M80" s="72" t="str">
        <f>BUNDESLIGA!I317&amp;IF(OR(BUNDESLIGA!G317="",BUNDESLIGA!H317=""),"",IF(BUNDESLIGA!G317&lt;BUNDESLIGA!H317,"",IF(BUNDESLIGA!G317&gt;BUNDESLIGA!H317,"","")))</f>
        <v>1899 Hoffenheim</v>
      </c>
      <c r="N80" s="161" t="str">
        <f>IF(BUNDESLIGA!G317&lt;&gt;"",BUNDESLIGA!G317&amp;" - "&amp;BUNDESLIGA!H317,"")</f>
        <v/>
      </c>
      <c r="O80" s="162"/>
      <c r="Q80" s="71" t="str">
        <f>BUNDESLIGA!F372&amp;IF(OR(BUNDESLIGA!G372="",BUNDESLIGA!H372=""),"",IF(BUNDESLIGA!G372&gt;BUNDESLIGA!H372,"",IF(BUNDESLIGA!G372&lt;BUNDESLIGA!H372,"","")))</f>
        <v>Bayer Leverkusen</v>
      </c>
      <c r="R80" s="72" t="str">
        <f>BUNDESLIGA!I372&amp;IF(OR(BUNDESLIGA!G372="",BUNDESLIGA!H372=""),"",IF(BUNDESLIGA!G372&lt;BUNDESLIGA!H372,"",IF(BUNDESLIGA!G372&gt;BUNDESLIGA!H372,"","")))</f>
        <v>1. FSV Mainz 05</v>
      </c>
      <c r="S80" s="161" t="str">
        <f>IF(BUNDESLIGA!G372&lt;&gt;"",BUNDESLIGA!G372&amp;" - "&amp;BUNDESLIGA!H372,"")</f>
        <v/>
      </c>
      <c r="T80" s="162"/>
    </row>
    <row r="81" spans="2:20" x14ac:dyDescent="0.25">
      <c r="B81" s="71" t="str">
        <f>BUNDESLIGA!F208&amp;IF(OR(BUNDESLIGA!G208="",BUNDESLIGA!H208=""),"",IF(BUNDESLIGA!G208&gt;BUNDESLIGA!H208,"",IF(BUNDESLIGA!G208&lt;BUNDESLIGA!H208,"","")))</f>
        <v>1. FC Union Berlin</v>
      </c>
      <c r="C81" s="72" t="str">
        <f>BUNDESLIGA!I208&amp;IF(OR(BUNDESLIGA!G208="",BUNDESLIGA!H208=""),"",IF(BUNDESLIGA!G208&lt;BUNDESLIGA!H208,"",IF(BUNDESLIGA!G208&gt;BUNDESLIGA!H208,"","")))</f>
        <v>FC Augsburg</v>
      </c>
      <c r="D81" s="161" t="str">
        <f>IF(BUNDESLIGA!G208&lt;&gt;"",BUNDESLIGA!G208&amp;" - "&amp;BUNDESLIGA!H208,"")</f>
        <v>2 - 0</v>
      </c>
      <c r="E81" s="162"/>
      <c r="G81" s="71" t="str">
        <f>BUNDESLIGA!F263&amp;IF(OR(BUNDESLIGA!G263="",BUNDESLIGA!H263=""),"",IF(BUNDESLIGA!G263&gt;BUNDESLIGA!H263,"",IF(BUNDESLIGA!G263&lt;BUNDESLIGA!H263,"","")))</f>
        <v>Borussia Dortmund</v>
      </c>
      <c r="H81" s="72" t="str">
        <f>BUNDESLIGA!I263&amp;IF(OR(BUNDESLIGA!G263="",BUNDESLIGA!H263=""),"",IF(BUNDESLIGA!G263&lt;BUNDESLIGA!H263,"",IF(BUNDESLIGA!G263&gt;BUNDESLIGA!H263,"","")))</f>
        <v>SC Freiburg</v>
      </c>
      <c r="I81" s="161" t="str">
        <f>IF(BUNDESLIGA!G263&lt;&gt;"",BUNDESLIGA!G263&amp;" - "&amp;BUNDESLIGA!H263,"")</f>
        <v>1 - 0</v>
      </c>
      <c r="J81" s="162"/>
      <c r="L81" s="71" t="str">
        <f>BUNDESLIGA!F318&amp;IF(OR(BUNDESLIGA!G318="",BUNDESLIGA!H318=""),"",IF(BUNDESLIGA!G318&gt;BUNDESLIGA!H318,"",IF(BUNDESLIGA!G318&lt;BUNDESLIGA!H318,"","")))</f>
        <v>Bayern München</v>
      </c>
      <c r="M81" s="72" t="str">
        <f>BUNDESLIGA!I318&amp;IF(OR(BUNDESLIGA!G318="",BUNDESLIGA!H318=""),"",IF(BUNDESLIGA!G318&lt;BUNDESLIGA!H318,"",IF(BUNDESLIGA!G318&gt;BUNDESLIGA!H318,"","")))</f>
        <v>Fortuna Düsseldorf</v>
      </c>
      <c r="N81" s="161" t="str">
        <f>IF(BUNDESLIGA!G318&lt;&gt;"",BUNDESLIGA!G318&amp;" - "&amp;BUNDESLIGA!H318,"")</f>
        <v/>
      </c>
      <c r="O81" s="162"/>
      <c r="Q81" s="71" t="str">
        <f>BUNDESLIGA!F373&amp;IF(OR(BUNDESLIGA!G373="",BUNDESLIGA!H373=""),"",IF(BUNDESLIGA!G373&gt;BUNDESLIGA!H373,"",IF(BUNDESLIGA!G373&lt;BUNDESLIGA!H373,"","")))</f>
        <v>SC Freiburg</v>
      </c>
      <c r="R81" s="72" t="str">
        <f>BUNDESLIGA!I373&amp;IF(OR(BUNDESLIGA!G373="",BUNDESLIGA!H373=""),"",IF(BUNDESLIGA!G373&lt;BUNDESLIGA!H373,"",IF(BUNDESLIGA!G373&gt;BUNDESLIGA!H373,"","")))</f>
        <v>FC Schalke 04</v>
      </c>
      <c r="S81" s="161" t="str">
        <f>IF(BUNDESLIGA!G373&lt;&gt;"",BUNDESLIGA!G373&amp;" - "&amp;BUNDESLIGA!H373,"")</f>
        <v/>
      </c>
      <c r="T81" s="162"/>
    </row>
    <row r="82" spans="2:20" x14ac:dyDescent="0.25">
      <c r="B82" s="71" t="str">
        <f>BUNDESLIGA!F209&amp;IF(OR(BUNDESLIGA!G209="",BUNDESLIGA!H209=""),"",IF(BUNDESLIGA!G209&gt;BUNDESLIGA!H209,"",IF(BUNDESLIGA!G209&lt;BUNDESLIGA!H209,"","")))</f>
        <v>Borussia Dortmund</v>
      </c>
      <c r="C82" s="72" t="str">
        <f>BUNDESLIGA!I209&amp;IF(OR(BUNDESLIGA!G209="",BUNDESLIGA!H209=""),"",IF(BUNDESLIGA!G209&lt;BUNDESLIGA!H209,"",IF(BUNDESLIGA!G209&gt;BUNDESLIGA!H209,"","")))</f>
        <v>1. FC Köln</v>
      </c>
      <c r="D82" s="161" t="str">
        <f>IF(BUNDESLIGA!G209&lt;&gt;"",BUNDESLIGA!G209&amp;" - "&amp;BUNDESLIGA!H209,"")</f>
        <v>5 - 1</v>
      </c>
      <c r="E82" s="162"/>
      <c r="G82" s="71" t="str">
        <f>BUNDESLIGA!F264&amp;IF(OR(BUNDESLIGA!G264="",BUNDESLIGA!H264=""),"",IF(BUNDESLIGA!G264&gt;BUNDESLIGA!H264,"",IF(BUNDESLIGA!G264&lt;BUNDESLIGA!H264,"","")))</f>
        <v>1. FC Köln</v>
      </c>
      <c r="H82" s="72" t="str">
        <f>BUNDESLIGA!I264&amp;IF(OR(BUNDESLIGA!G264="",BUNDESLIGA!H264=""),"",IF(BUNDESLIGA!G264&lt;BUNDESLIGA!H264,"",IF(BUNDESLIGA!G264&gt;BUNDESLIGA!H264,"","")))</f>
        <v>FC Schalke 04</v>
      </c>
      <c r="I82" s="161" t="str">
        <f>IF(BUNDESLIGA!G264&lt;&gt;"",BUNDESLIGA!G264&amp;" - "&amp;BUNDESLIGA!H264,"")</f>
        <v>3 - 0</v>
      </c>
      <c r="J82" s="162"/>
      <c r="L82" s="71" t="str">
        <f>BUNDESLIGA!F319&amp;IF(OR(BUNDESLIGA!G319="",BUNDESLIGA!H319=""),"",IF(BUNDESLIGA!G319&gt;BUNDESLIGA!H319,"",IF(BUNDESLIGA!G319&lt;BUNDESLIGA!H319,"","")))</f>
        <v>Hertha BSC</v>
      </c>
      <c r="M82" s="72" t="str">
        <f>BUNDESLIGA!I319&amp;IF(OR(BUNDESLIGA!G319="",BUNDESLIGA!H319=""),"",IF(BUNDESLIGA!G319&lt;BUNDESLIGA!H319,"",IF(BUNDESLIGA!G319&gt;BUNDESLIGA!H319,"","")))</f>
        <v>FC Augsburg</v>
      </c>
      <c r="N82" s="161" t="str">
        <f>IF(BUNDESLIGA!G319&lt;&gt;"",BUNDESLIGA!G319&amp;" - "&amp;BUNDESLIGA!H319,"")</f>
        <v/>
      </c>
      <c r="O82" s="162"/>
      <c r="Q82" s="71" t="str">
        <f>BUNDESLIGA!F374&amp;IF(OR(BUNDESLIGA!G374="",BUNDESLIGA!H374=""),"",IF(BUNDESLIGA!G374&gt;BUNDESLIGA!H374,"",IF(BUNDESLIGA!G374&lt;BUNDESLIGA!H374,"","")))</f>
        <v>Werder Bremen</v>
      </c>
      <c r="R82" s="72" t="str">
        <f>BUNDESLIGA!I374&amp;IF(OR(BUNDESLIGA!G374="",BUNDESLIGA!H374=""),"",IF(BUNDESLIGA!G374&lt;BUNDESLIGA!H374,"",IF(BUNDESLIGA!G374&gt;BUNDESLIGA!H374,"","")))</f>
        <v>1. FC Köln</v>
      </c>
      <c r="S82" s="161" t="str">
        <f>IF(BUNDESLIGA!G374&lt;&gt;"",BUNDESLIGA!G374&amp;" - "&amp;BUNDESLIGA!H374,"")</f>
        <v/>
      </c>
      <c r="T82" s="162"/>
    </row>
    <row r="83" spans="2:20" x14ac:dyDescent="0.25">
      <c r="B83" s="71" t="str">
        <f>BUNDESLIGA!F210&amp;IF(OR(BUNDESLIGA!G210="",BUNDESLIGA!H210=""),"",IF(BUNDESLIGA!G210&gt;BUNDESLIGA!H210,"",IF(BUNDESLIGA!G210&lt;BUNDESLIGA!H210,"","")))</f>
        <v>SC Freiburg</v>
      </c>
      <c r="C83" s="72" t="str">
        <f>BUNDESLIGA!I210&amp;IF(OR(BUNDESLIGA!G210="",BUNDESLIGA!H210=""),"",IF(BUNDESLIGA!G210&lt;BUNDESLIGA!H210,"",IF(BUNDESLIGA!G210&gt;BUNDESLIGA!H210,"","")))</f>
        <v>SC Paderborn 07</v>
      </c>
      <c r="D83" s="161" t="str">
        <f>IF(BUNDESLIGA!G210&lt;&gt;"",BUNDESLIGA!G210&amp;" - "&amp;BUNDESLIGA!H210,"")</f>
        <v>0 - 2</v>
      </c>
      <c r="E83" s="162"/>
      <c r="G83" s="71" t="str">
        <f>BUNDESLIGA!F265&amp;IF(OR(BUNDESLIGA!G265="",BUNDESLIGA!H265=""),"",IF(BUNDESLIGA!G265&gt;BUNDESLIGA!H265,"",IF(BUNDESLIGA!G265&lt;BUNDESLIGA!H265,"","")))</f>
        <v>1. FSV Mainz 05</v>
      </c>
      <c r="H83" s="72" t="str">
        <f>BUNDESLIGA!I265&amp;IF(OR(BUNDESLIGA!G265="",BUNDESLIGA!H265=""),"",IF(BUNDESLIGA!G265&lt;BUNDESLIGA!H265,"",IF(BUNDESLIGA!G265&gt;BUNDESLIGA!H265,"","")))</f>
        <v>SC Paderborn 07</v>
      </c>
      <c r="I83" s="161" t="str">
        <f>IF(BUNDESLIGA!G265&lt;&gt;"",BUNDESLIGA!G265&amp;" - "&amp;BUNDESLIGA!H265,"")</f>
        <v>2 - 0</v>
      </c>
      <c r="J83" s="162"/>
      <c r="L83" s="71" t="str">
        <f>BUNDESLIGA!F320&amp;IF(OR(BUNDESLIGA!G320="",BUNDESLIGA!H320=""),"",IF(BUNDESLIGA!G320&gt;BUNDESLIGA!H320,"",IF(BUNDESLIGA!G320&lt;BUNDESLIGA!H320,"","")))</f>
        <v>Bor. Mönchengladbach</v>
      </c>
      <c r="M83" s="72" t="str">
        <f>BUNDESLIGA!I320&amp;IF(OR(BUNDESLIGA!G320="",BUNDESLIGA!H320=""),"",IF(BUNDESLIGA!G320&lt;BUNDESLIGA!H320,"",IF(BUNDESLIGA!G320&gt;BUNDESLIGA!H320,"","")))</f>
        <v>1. FC Union Berlin</v>
      </c>
      <c r="N83" s="161" t="str">
        <f>IF(BUNDESLIGA!G320&lt;&gt;"",BUNDESLIGA!G320&amp;" - "&amp;BUNDESLIGA!H320,"")</f>
        <v/>
      </c>
      <c r="O83" s="162"/>
      <c r="Q83" s="71" t="str">
        <f>BUNDESLIGA!F375&amp;IF(OR(BUNDESLIGA!G375="",BUNDESLIGA!H375=""),"",IF(BUNDESLIGA!G375&gt;BUNDESLIGA!H375,"",IF(BUNDESLIGA!G375&lt;BUNDESLIGA!H375,"","")))</f>
        <v>Eintracht Frankfurt</v>
      </c>
      <c r="R83" s="72" t="str">
        <f>BUNDESLIGA!I375&amp;IF(OR(BUNDESLIGA!G375="",BUNDESLIGA!H375=""),"",IF(BUNDESLIGA!G375&lt;BUNDESLIGA!H375,"",IF(BUNDESLIGA!G375&gt;BUNDESLIGA!H375,"","")))</f>
        <v>SC Paderborn 07</v>
      </c>
      <c r="S83" s="161" t="str">
        <f>IF(BUNDESLIGA!G375&lt;&gt;"",BUNDESLIGA!G375&amp;" - "&amp;BUNDESLIGA!H375,"")</f>
        <v/>
      </c>
      <c r="T83" s="162"/>
    </row>
    <row r="84" spans="2:20" x14ac:dyDescent="0.25">
      <c r="D84" s="64"/>
      <c r="E84" s="64"/>
      <c r="G84" s="63"/>
      <c r="H84" s="63"/>
      <c r="I84" s="63"/>
      <c r="J84" s="63"/>
      <c r="L84" s="60"/>
      <c r="M84" s="60"/>
      <c r="Q84" s="60"/>
      <c r="R84" s="60"/>
    </row>
    <row r="85" spans="2:20" x14ac:dyDescent="0.25">
      <c r="B85" s="158" t="s">
        <v>59</v>
      </c>
      <c r="C85" s="159"/>
      <c r="D85" s="159"/>
      <c r="E85" s="160"/>
      <c r="G85" s="158" t="str">
        <f>BUNDESLIGA!F267&amp;IF(OR(BUNDESLIGA!G267="",BUNDESLIGA!H267=""),"",IF(BUNDESLIGA!G267&gt;BUNDESLIGA!H267,"",IF(BUNDESLIGA!G267&lt;BUNDESLIGA!H267,"","")))</f>
        <v>JOURNEE 25</v>
      </c>
      <c r="H85" s="159"/>
      <c r="I85" s="159"/>
      <c r="J85" s="160"/>
      <c r="L85" s="158" t="str">
        <f>BUNDESLIGA!F322&amp;IF(OR(BUNDESLIGA!G322="",BUNDESLIGA!H322=""),"",IF(BUNDESLIGA!G322&gt;BUNDESLIGA!H322,"",IF(BUNDESLIGA!G322&lt;BUNDESLIGA!H322,"","")))</f>
        <v>JOURNEE 30</v>
      </c>
      <c r="M85" s="159"/>
      <c r="N85" s="159"/>
      <c r="O85" s="160"/>
      <c r="Q85" s="60"/>
      <c r="R85" s="60"/>
    </row>
    <row r="86" spans="2:20" x14ac:dyDescent="0.25">
      <c r="B86" s="71" t="str">
        <f>BUNDESLIGA!F213&amp;IF(OR(BUNDESLIGA!G213="",BUNDESLIGA!H213=""),"",IF(BUNDESLIGA!G213&gt;BUNDESLIGA!H213,"",IF(BUNDESLIGA!G213&lt;BUNDESLIGA!H213,"","")))</f>
        <v>1. FSV Mainz 05</v>
      </c>
      <c r="C86" s="72" t="str">
        <f>BUNDESLIGA!I213&amp;IF(OR(BUNDESLIGA!G213="",BUNDESLIGA!H213=""),"",IF(BUNDESLIGA!G213&lt;BUNDESLIGA!H213,"",IF(BUNDESLIGA!G213&gt;BUNDESLIGA!H213,"","")))</f>
        <v>Bayern München</v>
      </c>
      <c r="D86" s="161" t="str">
        <f>IF(BUNDESLIGA!G213&lt;&gt;"",BUNDESLIGA!G213&amp;" - "&amp;BUNDESLIGA!H213,"")</f>
        <v>1 - 3</v>
      </c>
      <c r="E86" s="162"/>
      <c r="G86" s="71" t="str">
        <f>BUNDESLIGA!F268&amp;IF(OR(BUNDESLIGA!G268="",BUNDESLIGA!H268=""),"",IF(BUNDESLIGA!G268&gt;BUNDESLIGA!H268,"",IF(BUNDESLIGA!G268&lt;BUNDESLIGA!H268,"","")))</f>
        <v>Bor. Mönchengladbach</v>
      </c>
      <c r="H86" s="72" t="str">
        <f>BUNDESLIGA!I268&amp;IF(OR(BUNDESLIGA!G268="",BUNDESLIGA!H268=""),"",IF(BUNDESLIGA!G268&lt;BUNDESLIGA!H268,"",IF(BUNDESLIGA!G268&gt;BUNDESLIGA!H268,"","")))</f>
        <v>Borussia Dortmund</v>
      </c>
      <c r="I86" s="161" t="str">
        <f>IF(BUNDESLIGA!G268&lt;&gt;"",BUNDESLIGA!G268&amp;" - "&amp;BUNDESLIGA!H268,"")</f>
        <v/>
      </c>
      <c r="J86" s="162"/>
      <c r="L86" s="71" t="str">
        <f>BUNDESLIGA!F323&amp;IF(OR(BUNDESLIGA!G323="",BUNDESLIGA!H323=""),"",IF(BUNDESLIGA!G323&gt;BUNDESLIGA!H323,"",IF(BUNDESLIGA!G323&lt;BUNDESLIGA!H323,"","")))</f>
        <v>Bayer Leverkusen</v>
      </c>
      <c r="M86" s="72" t="str">
        <f>BUNDESLIGA!I323&amp;IF(OR(BUNDESLIGA!G323="",BUNDESLIGA!H323=""),"",IF(BUNDESLIGA!G323&lt;BUNDESLIGA!H323,"",IF(BUNDESLIGA!G323&gt;BUNDESLIGA!H323,"","")))</f>
        <v>Bayern München</v>
      </c>
      <c r="N86" s="161" t="str">
        <f>IF(BUNDESLIGA!G323&lt;&gt;"",BUNDESLIGA!G323&amp;" - "&amp;BUNDESLIGA!H323,"")</f>
        <v/>
      </c>
      <c r="O86" s="162"/>
      <c r="Q86" s="60"/>
      <c r="R86" s="60"/>
    </row>
    <row r="87" spans="2:20" x14ac:dyDescent="0.25">
      <c r="B87" s="71" t="str">
        <f>BUNDESLIGA!F214&amp;IF(OR(BUNDESLIGA!G214="",BUNDESLIGA!H214=""),"",IF(BUNDESLIGA!G214&gt;BUNDESLIGA!H214,"",IF(BUNDESLIGA!G214&lt;BUNDESLIGA!H214,"","")))</f>
        <v>1899 Hoffenheim</v>
      </c>
      <c r="C87" s="72" t="str">
        <f>BUNDESLIGA!I214&amp;IF(OR(BUNDESLIGA!G214="",BUNDESLIGA!H214=""),"",IF(BUNDESLIGA!G214&lt;BUNDESLIGA!H214,"",IF(BUNDESLIGA!G214&gt;BUNDESLIGA!H214,"","")))</f>
        <v>Bayer Leverkusen</v>
      </c>
      <c r="D87" s="161" t="str">
        <f>IF(BUNDESLIGA!G214&lt;&gt;"",BUNDESLIGA!G214&amp;" - "&amp;BUNDESLIGA!H214,"")</f>
        <v>2 - 1</v>
      </c>
      <c r="E87" s="162"/>
      <c r="G87" s="71" t="str">
        <f>BUNDESLIGA!F269&amp;IF(OR(BUNDESLIGA!G269="",BUNDESLIGA!H269=""),"",IF(BUNDESLIGA!G269&gt;BUNDESLIGA!H269,"",IF(BUNDESLIGA!G269&lt;BUNDESLIGA!H269,"","")))</f>
        <v>VfL Wolfsburg</v>
      </c>
      <c r="H87" s="72" t="str">
        <f>BUNDESLIGA!I269&amp;IF(OR(BUNDESLIGA!G269="",BUNDESLIGA!H269=""),"",IF(BUNDESLIGA!G269&lt;BUNDESLIGA!H269,"",IF(BUNDESLIGA!G269&gt;BUNDESLIGA!H269,"","")))</f>
        <v>RB Leipzig</v>
      </c>
      <c r="I87" s="161" t="str">
        <f>IF(BUNDESLIGA!G269&lt;&gt;"",BUNDESLIGA!G269&amp;" - "&amp;BUNDESLIGA!H269,"")</f>
        <v/>
      </c>
      <c r="J87" s="162"/>
      <c r="L87" s="71" t="str">
        <f>BUNDESLIGA!F324&amp;IF(OR(BUNDESLIGA!G324="",BUNDESLIGA!H324=""),"",IF(BUNDESLIGA!G324&gt;BUNDESLIGA!H324,"",IF(BUNDESLIGA!G324&lt;BUNDESLIGA!H324,"","")))</f>
        <v>SC Freiburg</v>
      </c>
      <c r="M87" s="72" t="str">
        <f>BUNDESLIGA!I324&amp;IF(OR(BUNDESLIGA!G324="",BUNDESLIGA!H324=""),"",IF(BUNDESLIGA!G324&lt;BUNDESLIGA!H324,"",IF(BUNDESLIGA!G324&gt;BUNDESLIGA!H324,"","")))</f>
        <v>Bor. Mönchengladbach</v>
      </c>
      <c r="N87" s="161" t="str">
        <f>IF(BUNDESLIGA!G324&lt;&gt;"",BUNDESLIGA!G324&amp;" - "&amp;BUNDESLIGA!H324,"")</f>
        <v/>
      </c>
      <c r="O87" s="162"/>
      <c r="Q87" s="60"/>
      <c r="R87" s="60"/>
    </row>
    <row r="88" spans="2:20" x14ac:dyDescent="0.25">
      <c r="B88" s="71" t="str">
        <f>BUNDESLIGA!F215&amp;IF(OR(BUNDESLIGA!G215="",BUNDESLIGA!H215=""),"",IF(BUNDESLIGA!G215&gt;BUNDESLIGA!H215,"",IF(BUNDESLIGA!G215&lt;BUNDESLIGA!H215,"","")))</f>
        <v>RB Leipzig</v>
      </c>
      <c r="C88" s="72" t="str">
        <f>BUNDESLIGA!I215&amp;IF(OR(BUNDESLIGA!G215="",BUNDESLIGA!H215=""),"",IF(BUNDESLIGA!G215&lt;BUNDESLIGA!H215,"",IF(BUNDESLIGA!G215&gt;BUNDESLIGA!H215,"","")))</f>
        <v>Bor. Mönchengladbach</v>
      </c>
      <c r="D88" s="161" t="str">
        <f>IF(BUNDESLIGA!G215&lt;&gt;"",BUNDESLIGA!G215&amp;" - "&amp;BUNDESLIGA!H215,"")</f>
        <v>2 - 2</v>
      </c>
      <c r="E88" s="162"/>
      <c r="G88" s="71" t="str">
        <f>BUNDESLIGA!F270&amp;IF(OR(BUNDESLIGA!G270="",BUNDESLIGA!H270=""),"",IF(BUNDESLIGA!G270&gt;BUNDESLIGA!H270,"",IF(BUNDESLIGA!G270&lt;BUNDESLIGA!H270,"","")))</f>
        <v>Bayer Leverkusen</v>
      </c>
      <c r="H88" s="72" t="str">
        <f>BUNDESLIGA!I270&amp;IF(OR(BUNDESLIGA!G270="",BUNDESLIGA!H270=""),"",IF(BUNDESLIGA!G270&lt;BUNDESLIGA!H270,"",IF(BUNDESLIGA!G270&gt;BUNDESLIGA!H270,"","")))</f>
        <v>Eintracht Frankfurt</v>
      </c>
      <c r="I88" s="161" t="str">
        <f>IF(BUNDESLIGA!G270&lt;&gt;"",BUNDESLIGA!G270&amp;" - "&amp;BUNDESLIGA!H270,"")</f>
        <v/>
      </c>
      <c r="J88" s="162"/>
      <c r="L88" s="71" t="str">
        <f>BUNDESLIGA!F325&amp;IF(OR(BUNDESLIGA!G325="",BUNDESLIGA!H325=""),"",IF(BUNDESLIGA!G325&gt;BUNDESLIGA!H325,"",IF(BUNDESLIGA!G325&lt;BUNDESLIGA!H325,"","")))</f>
        <v>Werder Bremen</v>
      </c>
      <c r="M88" s="72" t="str">
        <f>BUNDESLIGA!I325&amp;IF(OR(BUNDESLIGA!G325="",BUNDESLIGA!H325=""),"",IF(BUNDESLIGA!G325&lt;BUNDESLIGA!H325,"",IF(BUNDESLIGA!G325&gt;BUNDESLIGA!H325,"","")))</f>
        <v>VfL Wolfsburg</v>
      </c>
      <c r="N88" s="161" t="str">
        <f>IF(BUNDESLIGA!G325&lt;&gt;"",BUNDESLIGA!G325&amp;" - "&amp;BUNDESLIGA!H325,"")</f>
        <v/>
      </c>
      <c r="O88" s="162"/>
      <c r="Q88" s="60"/>
      <c r="R88" s="60"/>
    </row>
    <row r="89" spans="2:20" x14ac:dyDescent="0.25">
      <c r="B89" s="71" t="str">
        <f>BUNDESLIGA!F216&amp;IF(OR(BUNDESLIGA!G216="",BUNDESLIGA!H216=""),"",IF(BUNDESLIGA!G216&gt;BUNDESLIGA!H216,"",IF(BUNDESLIGA!G216&lt;BUNDESLIGA!H216,"","")))</f>
        <v>SC Paderborn 07</v>
      </c>
      <c r="C89" s="72" t="str">
        <f>BUNDESLIGA!I216&amp;IF(OR(BUNDESLIGA!G216="",BUNDESLIGA!H216=""),"",IF(BUNDESLIGA!G216&lt;BUNDESLIGA!H216,"",IF(BUNDESLIGA!G216&gt;BUNDESLIGA!H216,"","")))</f>
        <v>VfL Wolfsburg</v>
      </c>
      <c r="D89" s="161" t="str">
        <f>IF(BUNDESLIGA!G216&lt;&gt;"",BUNDESLIGA!G216&amp;" - "&amp;BUNDESLIGA!H216,"")</f>
        <v>2 - 4</v>
      </c>
      <c r="E89" s="162"/>
      <c r="G89" s="71" t="str">
        <f>BUNDESLIGA!F271&amp;IF(OR(BUNDESLIGA!G271="",BUNDESLIGA!H271=""),"",IF(BUNDESLIGA!G271&gt;BUNDESLIGA!H271,"",IF(BUNDESLIGA!G271&lt;BUNDESLIGA!H271,"","")))</f>
        <v>Hertha BSC</v>
      </c>
      <c r="H89" s="72" t="str">
        <f>BUNDESLIGA!I271&amp;IF(OR(BUNDESLIGA!G271="",BUNDESLIGA!H271=""),"",IF(BUNDESLIGA!G271&lt;BUNDESLIGA!H271,"",IF(BUNDESLIGA!G271&gt;BUNDESLIGA!H271,"","")))</f>
        <v>Werder Bremen</v>
      </c>
      <c r="I89" s="161" t="str">
        <f>IF(BUNDESLIGA!G271&lt;&gt;"",BUNDESLIGA!G271&amp;" - "&amp;BUNDESLIGA!H271,"")</f>
        <v/>
      </c>
      <c r="J89" s="162"/>
      <c r="L89" s="71" t="str">
        <f>BUNDESLIGA!F326&amp;IF(OR(BUNDESLIGA!G326="",BUNDESLIGA!H326=""),"",IF(BUNDESLIGA!G326&gt;BUNDESLIGA!H326,"",IF(BUNDESLIGA!G326&lt;BUNDESLIGA!H326,"","")))</f>
        <v>Fortuna Düsseldorf</v>
      </c>
      <c r="M89" s="72" t="str">
        <f>BUNDESLIGA!I326&amp;IF(OR(BUNDESLIGA!G326="",BUNDESLIGA!H326=""),"",IF(BUNDESLIGA!G326&lt;BUNDESLIGA!H326,"",IF(BUNDESLIGA!G326&gt;BUNDESLIGA!H326,"","")))</f>
        <v>1899 Hoffenheim</v>
      </c>
      <c r="N89" s="161" t="str">
        <f>IF(BUNDESLIGA!G326&lt;&gt;"",BUNDESLIGA!G326&amp;" - "&amp;BUNDESLIGA!H326,"")</f>
        <v/>
      </c>
      <c r="O89" s="162"/>
      <c r="Q89" s="60"/>
      <c r="R89" s="60"/>
    </row>
    <row r="90" spans="2:20" x14ac:dyDescent="0.25">
      <c r="B90" s="71" t="str">
        <f>BUNDESLIGA!F217&amp;IF(OR(BUNDESLIGA!G217="",BUNDESLIGA!H217=""),"",IF(BUNDESLIGA!G217&gt;BUNDESLIGA!H217,"",IF(BUNDESLIGA!G217&lt;BUNDESLIGA!H217,"","")))</f>
        <v>Fortuna Düsseldorf</v>
      </c>
      <c r="C90" s="72" t="str">
        <f>BUNDESLIGA!I217&amp;IF(OR(BUNDESLIGA!G217="",BUNDESLIGA!H217=""),"",IF(BUNDESLIGA!G217&lt;BUNDESLIGA!H217,"",IF(BUNDESLIGA!G217&gt;BUNDESLIGA!H217,"","")))</f>
        <v>Eintracht Frankfurt</v>
      </c>
      <c r="D90" s="161" t="str">
        <f>IF(BUNDESLIGA!G217&lt;&gt;"",BUNDESLIGA!G217&amp;" - "&amp;BUNDESLIGA!H217,"")</f>
        <v>1 - 1</v>
      </c>
      <c r="E90" s="162"/>
      <c r="G90" s="71" t="str">
        <f>BUNDESLIGA!F272&amp;IF(OR(BUNDESLIGA!G272="",BUNDESLIGA!H272=""),"",IF(BUNDESLIGA!G272&gt;BUNDESLIGA!H272,"",IF(BUNDESLIGA!G272&lt;BUNDESLIGA!H272,"","")))</f>
        <v>FC Schalke 04</v>
      </c>
      <c r="H90" s="72" t="str">
        <f>BUNDESLIGA!I272&amp;IF(OR(BUNDESLIGA!G272="",BUNDESLIGA!H272=""),"",IF(BUNDESLIGA!G272&lt;BUNDESLIGA!H272,"",IF(BUNDESLIGA!G272&gt;BUNDESLIGA!H272,"","")))</f>
        <v>1899 Hoffenheim</v>
      </c>
      <c r="I90" s="161" t="str">
        <f>IF(BUNDESLIGA!G272&lt;&gt;"",BUNDESLIGA!G272&amp;" - "&amp;BUNDESLIGA!H272,"")</f>
        <v/>
      </c>
      <c r="J90" s="162"/>
      <c r="L90" s="71" t="str">
        <f>BUNDESLIGA!F327&amp;IF(OR(BUNDESLIGA!G327="",BUNDESLIGA!H327=""),"",IF(BUNDESLIGA!G327&gt;BUNDESLIGA!H327,"",IF(BUNDESLIGA!G327&lt;BUNDESLIGA!H327,"","")))</f>
        <v>Borussia Dortmund</v>
      </c>
      <c r="M90" s="72" t="str">
        <f>BUNDESLIGA!I327&amp;IF(OR(BUNDESLIGA!G327="",BUNDESLIGA!H327=""),"",IF(BUNDESLIGA!G327&lt;BUNDESLIGA!H327,"",IF(BUNDESLIGA!G327&gt;BUNDESLIGA!H327,"","")))</f>
        <v>Hertha BSC</v>
      </c>
      <c r="N90" s="161" t="str">
        <f>IF(BUNDESLIGA!G327&lt;&gt;"",BUNDESLIGA!G327&amp;" - "&amp;BUNDESLIGA!H327,"")</f>
        <v/>
      </c>
      <c r="O90" s="162"/>
      <c r="Q90" s="60"/>
      <c r="R90" s="60"/>
    </row>
    <row r="91" spans="2:20" x14ac:dyDescent="0.25">
      <c r="B91" s="71" t="str">
        <f>BUNDESLIGA!F218&amp;IF(OR(BUNDESLIGA!G218="",BUNDESLIGA!H218=""),"",IF(BUNDESLIGA!G218&gt;BUNDESLIGA!H218,"",IF(BUNDESLIGA!G218&lt;BUNDESLIGA!H218,"","")))</f>
        <v>FC Augsburg</v>
      </c>
      <c r="C91" s="72" t="str">
        <f>BUNDESLIGA!I218&amp;IF(OR(BUNDESLIGA!G218="",BUNDESLIGA!H218=""),"",IF(BUNDESLIGA!G218&lt;BUNDESLIGA!H218,"",IF(BUNDESLIGA!G218&gt;BUNDESLIGA!H218,"","")))</f>
        <v>Werder Bremen</v>
      </c>
      <c r="D91" s="161" t="str">
        <f>IF(BUNDESLIGA!G218&lt;&gt;"",BUNDESLIGA!G218&amp;" - "&amp;BUNDESLIGA!H218,"")</f>
        <v>2 - 1</v>
      </c>
      <c r="E91" s="162"/>
      <c r="G91" s="71" t="str">
        <f>BUNDESLIGA!F273&amp;IF(OR(BUNDESLIGA!G273="",BUNDESLIGA!H273=""),"",IF(BUNDESLIGA!G273&gt;BUNDESLIGA!H273,"",IF(BUNDESLIGA!G273&lt;BUNDESLIGA!H273,"","")))</f>
        <v>1. FSV Mainz 05</v>
      </c>
      <c r="H91" s="72" t="str">
        <f>BUNDESLIGA!I273&amp;IF(OR(BUNDESLIGA!G273="",BUNDESLIGA!H273=""),"",IF(BUNDESLIGA!G273&lt;BUNDESLIGA!H273,"",IF(BUNDESLIGA!G273&gt;BUNDESLIGA!H273,"","")))</f>
        <v>Fortuna Düsseldorf</v>
      </c>
      <c r="I91" s="161" t="str">
        <f>IF(BUNDESLIGA!G273&lt;&gt;"",BUNDESLIGA!G273&amp;" - "&amp;BUNDESLIGA!H273,"")</f>
        <v/>
      </c>
      <c r="J91" s="162"/>
      <c r="L91" s="71" t="str">
        <f>BUNDESLIGA!F328&amp;IF(OR(BUNDESLIGA!G328="",BUNDESLIGA!H328=""),"",IF(BUNDESLIGA!G328&gt;BUNDESLIGA!H328,"",IF(BUNDESLIGA!G328&lt;BUNDESLIGA!H328,"","")))</f>
        <v>Eintracht Frankfurt</v>
      </c>
      <c r="M91" s="72" t="str">
        <f>BUNDESLIGA!I328&amp;IF(OR(BUNDESLIGA!G328="",BUNDESLIGA!H328=""),"",IF(BUNDESLIGA!G328&lt;BUNDESLIGA!H328,"",IF(BUNDESLIGA!G328&gt;BUNDESLIGA!H328,"","")))</f>
        <v>1. FSV Mainz 05</v>
      </c>
      <c r="N91" s="161" t="str">
        <f>IF(BUNDESLIGA!G328&lt;&gt;"",BUNDESLIGA!G328&amp;" - "&amp;BUNDESLIGA!H328,"")</f>
        <v/>
      </c>
      <c r="O91" s="162"/>
      <c r="Q91" s="60"/>
      <c r="R91" s="60"/>
    </row>
    <row r="92" spans="2:20" x14ac:dyDescent="0.25">
      <c r="B92" s="71" t="str">
        <f>BUNDESLIGA!F219&amp;IF(OR(BUNDESLIGA!G219="",BUNDESLIGA!H219=""),"",IF(BUNDESLIGA!G219&gt;BUNDESLIGA!H219,"",IF(BUNDESLIGA!G219&lt;BUNDESLIGA!H219,"","")))</f>
        <v>1. FC Köln</v>
      </c>
      <c r="C92" s="72" t="str">
        <f>BUNDESLIGA!I219&amp;IF(OR(BUNDESLIGA!G219="",BUNDESLIGA!H219=""),"",IF(BUNDESLIGA!G219&lt;BUNDESLIGA!H219,"",IF(BUNDESLIGA!G219&gt;BUNDESLIGA!H219,"","")))</f>
        <v>SC Freiburg</v>
      </c>
      <c r="D92" s="161" t="str">
        <f>IF(BUNDESLIGA!G219&lt;&gt;"",BUNDESLIGA!G219&amp;" - "&amp;BUNDESLIGA!H219,"")</f>
        <v>4 - 0</v>
      </c>
      <c r="E92" s="162"/>
      <c r="G92" s="71" t="str">
        <f>BUNDESLIGA!F274&amp;IF(OR(BUNDESLIGA!G274="",BUNDESLIGA!H274=""),"",IF(BUNDESLIGA!G274&gt;BUNDESLIGA!H274,"",IF(BUNDESLIGA!G274&lt;BUNDESLIGA!H274,"","")))</f>
        <v>Bayern München</v>
      </c>
      <c r="H92" s="72" t="str">
        <f>BUNDESLIGA!I274&amp;IF(OR(BUNDESLIGA!G274="",BUNDESLIGA!H274=""),"",IF(BUNDESLIGA!G274&lt;BUNDESLIGA!H274,"",IF(BUNDESLIGA!G274&gt;BUNDESLIGA!H274,"","")))</f>
        <v>FC Augsburg</v>
      </c>
      <c r="I92" s="161" t="str">
        <f>IF(BUNDESLIGA!G274&lt;&gt;"",BUNDESLIGA!G274&amp;" - "&amp;BUNDESLIGA!H274,"")</f>
        <v/>
      </c>
      <c r="J92" s="162"/>
      <c r="L92" s="71" t="str">
        <f>BUNDESLIGA!F329&amp;IF(OR(BUNDESLIGA!G329="",BUNDESLIGA!H329=""),"",IF(BUNDESLIGA!G329&gt;BUNDESLIGA!H329,"",IF(BUNDESLIGA!G329&lt;BUNDESLIGA!H329,"","")))</f>
        <v>1. FC Union Berlin</v>
      </c>
      <c r="M92" s="72" t="str">
        <f>BUNDESLIGA!I329&amp;IF(OR(BUNDESLIGA!G329="",BUNDESLIGA!H329=""),"",IF(BUNDESLIGA!G329&lt;BUNDESLIGA!H329,"",IF(BUNDESLIGA!G329&gt;BUNDESLIGA!H329,"","")))</f>
        <v>FC Schalke 04</v>
      </c>
      <c r="N92" s="161" t="str">
        <f>IF(BUNDESLIGA!G329&lt;&gt;"",BUNDESLIGA!G329&amp;" - "&amp;BUNDESLIGA!H329,"")</f>
        <v/>
      </c>
      <c r="O92" s="162"/>
      <c r="Q92" s="60"/>
      <c r="R92" s="60"/>
    </row>
    <row r="93" spans="2:20" x14ac:dyDescent="0.25">
      <c r="B93" s="71" t="str">
        <f>BUNDESLIGA!F220&amp;IF(OR(BUNDESLIGA!G220="",BUNDESLIGA!H220=""),"",IF(BUNDESLIGA!G220&gt;BUNDESLIGA!H220,"",IF(BUNDESLIGA!G220&lt;BUNDESLIGA!H220,"","")))</f>
        <v>Hertha BSC</v>
      </c>
      <c r="C93" s="72" t="str">
        <f>BUNDESLIGA!I220&amp;IF(OR(BUNDESLIGA!G220="",BUNDESLIGA!H220=""),"",IF(BUNDESLIGA!G220&lt;BUNDESLIGA!H220,"",IF(BUNDESLIGA!G220&gt;BUNDESLIGA!H220,"","")))</f>
        <v>FC Schalke 04</v>
      </c>
      <c r="D93" s="161" t="str">
        <f>IF(BUNDESLIGA!G220&lt;&gt;"",BUNDESLIGA!G220&amp;" - "&amp;BUNDESLIGA!H220,"")</f>
        <v>0 - 0</v>
      </c>
      <c r="E93" s="162"/>
      <c r="G93" s="71" t="str">
        <f>BUNDESLIGA!F275&amp;IF(OR(BUNDESLIGA!G275="",BUNDESLIGA!H275=""),"",IF(BUNDESLIGA!G275&gt;BUNDESLIGA!H275,"",IF(BUNDESLIGA!G275&lt;BUNDESLIGA!H275,"","")))</f>
        <v>SC Paderborn 07</v>
      </c>
      <c r="H93" s="72" t="str">
        <f>BUNDESLIGA!I275&amp;IF(OR(BUNDESLIGA!G275="",BUNDESLIGA!H275=""),"",IF(BUNDESLIGA!G275&lt;BUNDESLIGA!H275,"",IF(BUNDESLIGA!G275&gt;BUNDESLIGA!H275,"","")))</f>
        <v>1. FC Köln</v>
      </c>
      <c r="I93" s="161" t="str">
        <f>IF(BUNDESLIGA!G275&lt;&gt;"",BUNDESLIGA!G275&amp;" - "&amp;BUNDESLIGA!H275,"")</f>
        <v/>
      </c>
      <c r="J93" s="162"/>
      <c r="L93" s="71" t="str">
        <f>BUNDESLIGA!F330&amp;IF(OR(BUNDESLIGA!G330="",BUNDESLIGA!H330=""),"",IF(BUNDESLIGA!G330&gt;BUNDESLIGA!H330,"",IF(BUNDESLIGA!G330&lt;BUNDESLIGA!H330,"","")))</f>
        <v>FC Augsburg</v>
      </c>
      <c r="M93" s="72" t="str">
        <f>BUNDESLIGA!I330&amp;IF(OR(BUNDESLIGA!G330="",BUNDESLIGA!H330=""),"",IF(BUNDESLIGA!G330&lt;BUNDESLIGA!H330,"",IF(BUNDESLIGA!G330&gt;BUNDESLIGA!H330,"","")))</f>
        <v>1. FC Köln</v>
      </c>
      <c r="N93" s="161" t="str">
        <f>IF(BUNDESLIGA!G330&lt;&gt;"",BUNDESLIGA!G330&amp;" - "&amp;BUNDESLIGA!H330,"")</f>
        <v/>
      </c>
      <c r="O93" s="162"/>
      <c r="Q93" s="60"/>
      <c r="R93" s="60"/>
    </row>
    <row r="94" spans="2:20" x14ac:dyDescent="0.25">
      <c r="B94" s="71" t="str">
        <f>BUNDESLIGA!F221&amp;IF(OR(BUNDESLIGA!G221="",BUNDESLIGA!H221=""),"",IF(BUNDESLIGA!G221&gt;BUNDESLIGA!H221,"",IF(BUNDESLIGA!G221&lt;BUNDESLIGA!H221,"","")))</f>
        <v>Borussia Dortmund</v>
      </c>
      <c r="C94" s="72" t="str">
        <f>BUNDESLIGA!I221&amp;IF(OR(BUNDESLIGA!G221="",BUNDESLIGA!H221=""),"",IF(BUNDESLIGA!G221&lt;BUNDESLIGA!H221,"",IF(BUNDESLIGA!G221&gt;BUNDESLIGA!H221,"","")))</f>
        <v>1. FC Union Berlin</v>
      </c>
      <c r="D94" s="161" t="str">
        <f>IF(BUNDESLIGA!G221&lt;&gt;"",BUNDESLIGA!G221&amp;" - "&amp;BUNDESLIGA!H221,"")</f>
        <v>5 - 0</v>
      </c>
      <c r="E94" s="162"/>
      <c r="G94" s="71" t="str">
        <f>BUNDESLIGA!F276&amp;IF(OR(BUNDESLIGA!G276="",BUNDESLIGA!H276=""),"",IF(BUNDESLIGA!G276&gt;BUNDESLIGA!H276,"",IF(BUNDESLIGA!G276&lt;BUNDESLIGA!H276,"","")))</f>
        <v>SC Freiburg</v>
      </c>
      <c r="H94" s="72" t="str">
        <f>BUNDESLIGA!I276&amp;IF(OR(BUNDESLIGA!G276="",BUNDESLIGA!H276=""),"",IF(BUNDESLIGA!G276&lt;BUNDESLIGA!H276,"",IF(BUNDESLIGA!G276&gt;BUNDESLIGA!H276,"","")))</f>
        <v>1. FC Union Berlin</v>
      </c>
      <c r="I94" s="161" t="str">
        <f>IF(BUNDESLIGA!G276&lt;&gt;"",BUNDESLIGA!G276&amp;" - "&amp;BUNDESLIGA!H276,"")</f>
        <v/>
      </c>
      <c r="J94" s="162"/>
      <c r="L94" s="71" t="str">
        <f>BUNDESLIGA!F331&amp;IF(OR(BUNDESLIGA!G331="",BUNDESLIGA!H331=""),"",IF(BUNDESLIGA!G331&gt;BUNDESLIGA!H331,"",IF(BUNDESLIGA!G331&lt;BUNDESLIGA!H331,"","")))</f>
        <v>RB Leipzig</v>
      </c>
      <c r="M94" s="72" t="str">
        <f>BUNDESLIGA!I331&amp;IF(OR(BUNDESLIGA!G331="",BUNDESLIGA!H331=""),"",IF(BUNDESLIGA!G331&lt;BUNDESLIGA!H331,"",IF(BUNDESLIGA!G331&gt;BUNDESLIGA!H331,"","")))</f>
        <v>SC Paderborn 07</v>
      </c>
      <c r="N94" s="161" t="str">
        <f>IF(BUNDESLIGA!G331&lt;&gt;"",BUNDESLIGA!G331&amp;" - "&amp;BUNDESLIGA!H331,"")</f>
        <v/>
      </c>
      <c r="O94" s="162"/>
      <c r="Q94" s="60"/>
      <c r="R94" s="60"/>
    </row>
    <row r="95" spans="2:20" x14ac:dyDescent="0.25">
      <c r="B95" s="60" t="str">
        <f>BUNDESLIGA!F222&amp;IF(OR(BUNDESLIGA!G222="",BUNDESLIGA!H222=""),"",IF(BUNDESLIGA!G222&gt;BUNDESLIGA!H222,"",IF(BUNDESLIGA!G222&lt;BUNDESLIGA!H222,"","")))</f>
        <v/>
      </c>
      <c r="C95" s="60" t="str">
        <f>BUNDESLIGA!I222&amp;IF(OR(BUNDESLIGA!G222="",BUNDESLIGA!H222=""),"",IF(BUNDESLIGA!G222&lt;BUNDESLIGA!H222,"",IF(BUNDESLIGA!G222&gt;BUNDESLIGA!H222,"","")))</f>
        <v/>
      </c>
      <c r="G95" s="63" t="str">
        <f>BUNDESLIGA!F277&amp;IF(OR(BUNDESLIGA!G277="",BUNDESLIGA!H277=""),"",IF(BUNDESLIGA!G277&gt;BUNDESLIGA!H277,"",IF(BUNDESLIGA!G277&lt;BUNDESLIGA!H277,"","")))</f>
        <v/>
      </c>
      <c r="H95" s="63" t="str">
        <f>BUNDESLIGA!I277&amp;IF(OR(BUNDESLIGA!G277="",BUNDESLIGA!H277=""),"",IF(BUNDESLIGA!G277&lt;BUNDESLIGA!H277,"",IF(BUNDESLIGA!G277&gt;BUNDESLIGA!H277,"","")))</f>
        <v/>
      </c>
      <c r="L95" s="60" t="str">
        <f>BUNDESLIGA!F332&amp;IF(OR(BUNDESLIGA!G332="",BUNDESLIGA!H332=""),"",IF(BUNDESLIGA!G332&gt;BUNDESLIGA!H332,"",IF(BUNDESLIGA!G332&lt;BUNDESLIGA!H332,"","")))</f>
        <v/>
      </c>
      <c r="M95" s="60" t="str">
        <f>BUNDESLIGA!I332&amp;IF(OR(BUNDESLIGA!G332="",BUNDESLIGA!H332=""),"",IF(BUNDESLIGA!G332&lt;BUNDESLIGA!H332,"",IF(BUNDESLIGA!G332&gt;BUNDESLIGA!H332,"","")))</f>
        <v/>
      </c>
      <c r="Q95" s="60"/>
      <c r="R95" s="60"/>
    </row>
    <row r="96" spans="2:20" x14ac:dyDescent="0.25">
      <c r="B96" s="158" t="str">
        <f>BUNDESLIGA!F223&amp;IF(OR(BUNDESLIGA!G223="",BUNDESLIGA!H223=""),"",IF(BUNDESLIGA!G223&gt;BUNDESLIGA!H223,"",IF(BUNDESLIGA!G223&lt;BUNDESLIGA!H223,"","")))</f>
        <v>JOURNEE 21</v>
      </c>
      <c r="C96" s="159"/>
      <c r="D96" s="159"/>
      <c r="E96" s="160"/>
      <c r="G96" s="158" t="str">
        <f>BUNDESLIGA!F278&amp;IF(OR(BUNDESLIGA!G278="",BUNDESLIGA!H278=""),"",IF(BUNDESLIGA!G278&gt;BUNDESLIGA!H278,"",IF(BUNDESLIGA!G278&lt;BUNDESLIGA!H278,"","")))</f>
        <v>JOURNEE 26</v>
      </c>
      <c r="H96" s="159"/>
      <c r="I96" s="159"/>
      <c r="J96" s="160"/>
      <c r="L96" s="158" t="str">
        <f>BUNDESLIGA!F333&amp;IF(OR(BUNDESLIGA!G333="",BUNDESLIGA!H333=""),"",IF(BUNDESLIGA!G333&gt;BUNDESLIGA!H333,"",IF(BUNDESLIGA!G333&lt;BUNDESLIGA!H333,"","")))</f>
        <v>JOURNEE 31</v>
      </c>
      <c r="M96" s="159"/>
      <c r="N96" s="159"/>
      <c r="O96" s="160"/>
      <c r="Q96" s="60"/>
      <c r="R96" s="60"/>
    </row>
    <row r="97" spans="2:18" x14ac:dyDescent="0.25">
      <c r="B97" s="71" t="str">
        <f>BUNDESLIGA!F224&amp;IF(OR(BUNDESLIGA!G224="",BUNDESLIGA!H224=""),"",IF(BUNDESLIGA!G224&gt;BUNDESLIGA!H224,"",IF(BUNDESLIGA!G224&lt;BUNDESLIGA!H224,"","")))</f>
        <v>Bayer Leverkusen</v>
      </c>
      <c r="C97" s="72" t="str">
        <f>BUNDESLIGA!I224&amp;IF(OR(BUNDESLIGA!G224="",BUNDESLIGA!H224=""),"",IF(BUNDESLIGA!G224&lt;BUNDESLIGA!H224,"",IF(BUNDESLIGA!G224&gt;BUNDESLIGA!H224,"","")))</f>
        <v>Borussia Dortmund</v>
      </c>
      <c r="D97" s="161" t="str">
        <f>IF(BUNDESLIGA!G224&lt;&gt;"",BUNDESLIGA!G224&amp;" - "&amp;BUNDESLIGA!H224,"")</f>
        <v>4 - 3</v>
      </c>
      <c r="E97" s="162"/>
      <c r="G97" s="71" t="str">
        <f>BUNDESLIGA!F279&amp;IF(OR(BUNDESLIGA!G279="",BUNDESLIGA!H279=""),"",IF(BUNDESLIGA!G279&gt;BUNDESLIGA!H279,"",IF(BUNDESLIGA!G279&lt;BUNDESLIGA!H279,"","")))</f>
        <v>1. FC Union Berlin</v>
      </c>
      <c r="H97" s="72" t="str">
        <f>BUNDESLIGA!I279&amp;IF(OR(BUNDESLIGA!G279="",BUNDESLIGA!H279=""),"",IF(BUNDESLIGA!G279&lt;BUNDESLIGA!H279,"",IF(BUNDESLIGA!G279&gt;BUNDESLIGA!H279,"","")))</f>
        <v>Bayern München</v>
      </c>
      <c r="I97" s="161" t="str">
        <f>IF(BUNDESLIGA!G279&lt;&gt;"",BUNDESLIGA!G279&amp;" - "&amp;BUNDESLIGA!H279,"")</f>
        <v/>
      </c>
      <c r="J97" s="162"/>
      <c r="L97" s="71" t="str">
        <f>BUNDESLIGA!F334&amp;IF(OR(BUNDESLIGA!G334="",BUNDESLIGA!H334=""),"",IF(BUNDESLIGA!G334&gt;BUNDESLIGA!H334,"",IF(BUNDESLIGA!G334&lt;BUNDESLIGA!H334,"","")))</f>
        <v>Fortuna Düsseldorf</v>
      </c>
      <c r="M97" s="72" t="str">
        <f>BUNDESLIGA!I334&amp;IF(OR(BUNDESLIGA!G334="",BUNDESLIGA!H334=""),"",IF(BUNDESLIGA!G334&lt;BUNDESLIGA!H334,"",IF(BUNDESLIGA!G334&gt;BUNDESLIGA!H334,"","")))</f>
        <v>Borussia Dortmund</v>
      </c>
      <c r="N97" s="161" t="str">
        <f>IF(BUNDESLIGA!G334&lt;&gt;"",BUNDESLIGA!G334&amp;" - "&amp;BUNDESLIGA!H334,"")</f>
        <v/>
      </c>
      <c r="O97" s="162"/>
      <c r="Q97" s="60"/>
      <c r="R97" s="60"/>
    </row>
    <row r="98" spans="2:18" x14ac:dyDescent="0.25">
      <c r="B98" s="71" t="str">
        <f>BUNDESLIGA!F225&amp;IF(OR(BUNDESLIGA!G225="",BUNDESLIGA!H225=""),"",IF(BUNDESLIGA!G225&gt;BUNDESLIGA!H225,"",IF(BUNDESLIGA!G225&lt;BUNDESLIGA!H225,"","")))</f>
        <v>Bayern München</v>
      </c>
      <c r="C98" s="72" t="str">
        <f>BUNDESLIGA!I225&amp;IF(OR(BUNDESLIGA!G225="",BUNDESLIGA!H225=""),"",IF(BUNDESLIGA!G225&lt;BUNDESLIGA!H225,"",IF(BUNDESLIGA!G225&gt;BUNDESLIGA!H225,"","")))</f>
        <v>RB Leipzig</v>
      </c>
      <c r="D98" s="161" t="str">
        <f>IF(BUNDESLIGA!G225&lt;&gt;"",BUNDESLIGA!G225&amp;" - "&amp;BUNDESLIGA!H225,"")</f>
        <v>0 - 0</v>
      </c>
      <c r="E98" s="162"/>
      <c r="G98" s="71" t="str">
        <f>BUNDESLIGA!F280&amp;IF(OR(BUNDESLIGA!G280="",BUNDESLIGA!H280=""),"",IF(BUNDESLIGA!G280&gt;BUNDESLIGA!H280,"",IF(BUNDESLIGA!G280&lt;BUNDESLIGA!H280,"","")))</f>
        <v>Werder Bremen</v>
      </c>
      <c r="H98" s="72" t="str">
        <f>BUNDESLIGA!I280&amp;IF(OR(BUNDESLIGA!G280="",BUNDESLIGA!H280=""),"",IF(BUNDESLIGA!G280&lt;BUNDESLIGA!H280,"",IF(BUNDESLIGA!G280&gt;BUNDESLIGA!H280,"","")))</f>
        <v>Bayer Leverkusen</v>
      </c>
      <c r="I98" s="161" t="str">
        <f>IF(BUNDESLIGA!G280&lt;&gt;"",BUNDESLIGA!G280&amp;" - "&amp;BUNDESLIGA!H280,"")</f>
        <v/>
      </c>
      <c r="J98" s="162"/>
      <c r="L98" s="71" t="str">
        <f>BUNDESLIGA!F335&amp;IF(OR(BUNDESLIGA!G335="",BUNDESLIGA!H335=""),"",IF(BUNDESLIGA!G335&gt;BUNDESLIGA!H335,"",IF(BUNDESLIGA!G335&lt;BUNDESLIGA!H335,"","")))</f>
        <v>1899 Hoffenheim</v>
      </c>
      <c r="M98" s="72" t="str">
        <f>BUNDESLIGA!I335&amp;IF(OR(BUNDESLIGA!G335="",BUNDESLIGA!H335=""),"",IF(BUNDESLIGA!G335&lt;BUNDESLIGA!H335,"",IF(BUNDESLIGA!G335&gt;BUNDESLIGA!H335,"","")))</f>
        <v>RB Leipzig</v>
      </c>
      <c r="N98" s="161" t="str">
        <f>IF(BUNDESLIGA!G335&lt;&gt;"",BUNDESLIGA!G335&amp;" - "&amp;BUNDESLIGA!H335,"")</f>
        <v/>
      </c>
      <c r="O98" s="162"/>
      <c r="Q98" s="60"/>
      <c r="R98" s="60"/>
    </row>
    <row r="99" spans="2:18" x14ac:dyDescent="0.25">
      <c r="B99" s="71" t="str">
        <f>BUNDESLIGA!F226&amp;IF(OR(BUNDESLIGA!G226="",BUNDESLIGA!H226=""),"",IF(BUNDESLIGA!G226&gt;BUNDESLIGA!H226,"",IF(BUNDESLIGA!G226&lt;BUNDESLIGA!H226,"","")))</f>
        <v>SC Freiburg</v>
      </c>
      <c r="C99" s="72" t="str">
        <f>BUNDESLIGA!I226&amp;IF(OR(BUNDESLIGA!G226="",BUNDESLIGA!H226=""),"",IF(BUNDESLIGA!G226&lt;BUNDESLIGA!H226,"",IF(BUNDESLIGA!G226&gt;BUNDESLIGA!H226,"","")))</f>
        <v>1899 Hoffenheim</v>
      </c>
      <c r="D99" s="161" t="str">
        <f>IF(BUNDESLIGA!G226&lt;&gt;"",BUNDESLIGA!G226&amp;" - "&amp;BUNDESLIGA!H226,"")</f>
        <v>1 - 0</v>
      </c>
      <c r="E99" s="162"/>
      <c r="G99" s="71" t="str">
        <f>BUNDESLIGA!F281&amp;IF(OR(BUNDESLIGA!G281="",BUNDESLIGA!H281=""),"",IF(BUNDESLIGA!G281&gt;BUNDESLIGA!H281,"",IF(BUNDESLIGA!G281&lt;BUNDESLIGA!H281,"","")))</f>
        <v>Eintracht Frankfurt</v>
      </c>
      <c r="H99" s="72" t="str">
        <f>BUNDESLIGA!I281&amp;IF(OR(BUNDESLIGA!G281="",BUNDESLIGA!H281=""),"",IF(BUNDESLIGA!G281&lt;BUNDESLIGA!H281,"",IF(BUNDESLIGA!G281&gt;BUNDESLIGA!H281,"","")))</f>
        <v>Bor. Mönchengladbach</v>
      </c>
      <c r="I99" s="161" t="str">
        <f>IF(BUNDESLIGA!G281&lt;&gt;"",BUNDESLIGA!G281&amp;" - "&amp;BUNDESLIGA!H281,"")</f>
        <v/>
      </c>
      <c r="J99" s="162"/>
      <c r="L99" s="71" t="str">
        <f>BUNDESLIGA!F336&amp;IF(OR(BUNDESLIGA!G336="",BUNDESLIGA!H336=""),"",IF(BUNDESLIGA!G336&gt;BUNDESLIGA!H336,"",IF(BUNDESLIGA!G336&lt;BUNDESLIGA!H336,"","")))</f>
        <v>FC Schalke 04</v>
      </c>
      <c r="M99" s="72" t="str">
        <f>BUNDESLIGA!I336&amp;IF(OR(BUNDESLIGA!G336="",BUNDESLIGA!H336=""),"",IF(BUNDESLIGA!G336&lt;BUNDESLIGA!H336,"",IF(BUNDESLIGA!G336&gt;BUNDESLIGA!H336,"","")))</f>
        <v>Bayer Leverkusen</v>
      </c>
      <c r="N99" s="161" t="str">
        <f>IF(BUNDESLIGA!G336&lt;&gt;"",BUNDESLIGA!G336&amp;" - "&amp;BUNDESLIGA!H336,"")</f>
        <v/>
      </c>
      <c r="O99" s="162"/>
      <c r="Q99" s="60"/>
      <c r="R99" s="60"/>
    </row>
    <row r="100" spans="2:18" x14ac:dyDescent="0.25">
      <c r="B100" s="71" t="str">
        <f>BUNDESLIGA!F227&amp;IF(OR(BUNDESLIGA!G227="",BUNDESLIGA!H227=""),"",IF(BUNDESLIGA!G227&gt;BUNDESLIGA!H227,"",IF(BUNDESLIGA!G227&lt;BUNDESLIGA!H227,"","")))</f>
        <v>VfL Wolfsburg</v>
      </c>
      <c r="C100" s="72" t="str">
        <f>BUNDESLIGA!I227&amp;IF(OR(BUNDESLIGA!G227="",BUNDESLIGA!H227=""),"",IF(BUNDESLIGA!G227&lt;BUNDESLIGA!H227,"",IF(BUNDESLIGA!G227&gt;BUNDESLIGA!H227,"","")))</f>
        <v>Fortuna Düsseldorf</v>
      </c>
      <c r="D100" s="161" t="str">
        <f>IF(BUNDESLIGA!G227&lt;&gt;"",BUNDESLIGA!G227&amp;" - "&amp;BUNDESLIGA!H227,"")</f>
        <v>1 - 1</v>
      </c>
      <c r="E100" s="162"/>
      <c r="G100" s="71" t="str">
        <f>BUNDESLIGA!F282&amp;IF(OR(BUNDESLIGA!G282="",BUNDESLIGA!H282=""),"",IF(BUNDESLIGA!G282&gt;BUNDESLIGA!H282,"",IF(BUNDESLIGA!G282&lt;BUNDESLIGA!H282,"","")))</f>
        <v>FC Augsburg</v>
      </c>
      <c r="H100" s="72" t="str">
        <f>BUNDESLIGA!I282&amp;IF(OR(BUNDESLIGA!G282="",BUNDESLIGA!H282=""),"",IF(BUNDESLIGA!G282&lt;BUNDESLIGA!H282,"",IF(BUNDESLIGA!G282&gt;BUNDESLIGA!H282,"","")))</f>
        <v>VfL Wolfsburg</v>
      </c>
      <c r="I100" s="161" t="str">
        <f>IF(BUNDESLIGA!G282&lt;&gt;"",BUNDESLIGA!G282&amp;" - "&amp;BUNDESLIGA!H282,"")</f>
        <v/>
      </c>
      <c r="J100" s="162"/>
      <c r="L100" s="71" t="str">
        <f>BUNDESLIGA!F337&amp;IF(OR(BUNDESLIGA!G337="",BUNDESLIGA!H337=""),"",IF(BUNDESLIGA!G337&gt;BUNDESLIGA!H337,"",IF(BUNDESLIGA!G337&lt;BUNDESLIGA!H337,"","")))</f>
        <v>Bayern München</v>
      </c>
      <c r="M100" s="72" t="str">
        <f>BUNDESLIGA!I337&amp;IF(OR(BUNDESLIGA!G337="",BUNDESLIGA!H337=""),"",IF(BUNDESLIGA!G337&lt;BUNDESLIGA!H337,"",IF(BUNDESLIGA!G337&gt;BUNDESLIGA!H337,"","")))</f>
        <v>Bor. Mönchengladbach</v>
      </c>
      <c r="N100" s="161" t="str">
        <f>IF(BUNDESLIGA!G337&lt;&gt;"",BUNDESLIGA!G337&amp;" - "&amp;BUNDESLIGA!H337,"")</f>
        <v/>
      </c>
      <c r="O100" s="162"/>
      <c r="Q100" s="60"/>
      <c r="R100" s="60"/>
    </row>
    <row r="101" spans="2:18" x14ac:dyDescent="0.25">
      <c r="B101" s="71" t="str">
        <f>BUNDESLIGA!F228&amp;IF(OR(BUNDESLIGA!G228="",BUNDESLIGA!H228=""),"",IF(BUNDESLIGA!G228&gt;BUNDESLIGA!H228,"",IF(BUNDESLIGA!G228&lt;BUNDESLIGA!H228,"","")))</f>
        <v>Hertha BSC</v>
      </c>
      <c r="C101" s="72" t="str">
        <f>BUNDESLIGA!I228&amp;IF(OR(BUNDESLIGA!G228="",BUNDESLIGA!H228=""),"",IF(BUNDESLIGA!G228&lt;BUNDESLIGA!H228,"",IF(BUNDESLIGA!G228&gt;BUNDESLIGA!H228,"","")))</f>
        <v>1. FSV Mainz 05</v>
      </c>
      <c r="D101" s="161" t="str">
        <f>IF(BUNDESLIGA!G228&lt;&gt;"",BUNDESLIGA!G228&amp;" - "&amp;BUNDESLIGA!H228,"")</f>
        <v>1 - 3</v>
      </c>
      <c r="E101" s="162"/>
      <c r="G101" s="71" t="str">
        <f>BUNDESLIGA!F283&amp;IF(OR(BUNDESLIGA!G283="",BUNDESLIGA!H283=""),"",IF(BUNDESLIGA!G283&gt;BUNDESLIGA!H283,"",IF(BUNDESLIGA!G283&lt;BUNDESLIGA!H283,"","")))</f>
        <v>1899 Hoffenheim</v>
      </c>
      <c r="H101" s="72" t="str">
        <f>BUNDESLIGA!I283&amp;IF(OR(BUNDESLIGA!G283="",BUNDESLIGA!H283=""),"",IF(BUNDESLIGA!G283&lt;BUNDESLIGA!H283,"",IF(BUNDESLIGA!G283&gt;BUNDESLIGA!H283,"","")))</f>
        <v>Hertha BSC</v>
      </c>
      <c r="I101" s="161" t="str">
        <f>IF(BUNDESLIGA!G283&lt;&gt;"",BUNDESLIGA!G283&amp;" - "&amp;BUNDESLIGA!H283,"")</f>
        <v/>
      </c>
      <c r="J101" s="162"/>
      <c r="L101" s="71" t="str">
        <f>BUNDESLIGA!F338&amp;IF(OR(BUNDESLIGA!G338="",BUNDESLIGA!H338=""),"",IF(BUNDESLIGA!G338&gt;BUNDESLIGA!H338,"",IF(BUNDESLIGA!G338&lt;BUNDESLIGA!H338,"","")))</f>
        <v>Hertha BSC</v>
      </c>
      <c r="M101" s="72" t="str">
        <f>BUNDESLIGA!I338&amp;IF(OR(BUNDESLIGA!G338="",BUNDESLIGA!H338=""),"",IF(BUNDESLIGA!G338&lt;BUNDESLIGA!H338,"",IF(BUNDESLIGA!G338&gt;BUNDESLIGA!H338,"","")))</f>
        <v>Eintracht Frankfurt</v>
      </c>
      <c r="N101" s="161" t="str">
        <f>IF(BUNDESLIGA!G338&lt;&gt;"",BUNDESLIGA!G338&amp;" - "&amp;BUNDESLIGA!H338,"")</f>
        <v/>
      </c>
      <c r="O101" s="162"/>
      <c r="Q101" s="60"/>
      <c r="R101" s="60"/>
    </row>
    <row r="102" spans="2:18" x14ac:dyDescent="0.25">
      <c r="B102" s="71" t="str">
        <f>BUNDESLIGA!F229&amp;IF(OR(BUNDESLIGA!G229="",BUNDESLIGA!H229=""),"",IF(BUNDESLIGA!G229&gt;BUNDESLIGA!H229,"",IF(BUNDESLIGA!G229&lt;BUNDESLIGA!H229,"","")))</f>
        <v>Eintracht Frankfurt</v>
      </c>
      <c r="C102" s="72" t="str">
        <f>BUNDESLIGA!I229&amp;IF(OR(BUNDESLIGA!G229="",BUNDESLIGA!H229=""),"",IF(BUNDESLIGA!G229&lt;BUNDESLIGA!H229,"",IF(BUNDESLIGA!G229&gt;BUNDESLIGA!H229,"","")))</f>
        <v>FC Augsburg</v>
      </c>
      <c r="D102" s="161" t="str">
        <f>IF(BUNDESLIGA!G229&lt;&gt;"",BUNDESLIGA!G229&amp;" - "&amp;BUNDESLIGA!H229,"")</f>
        <v>5 - 0</v>
      </c>
      <c r="E102" s="162"/>
      <c r="G102" s="71" t="str">
        <f>BUNDESLIGA!F284&amp;IF(OR(BUNDESLIGA!G284="",BUNDESLIGA!H284=""),"",IF(BUNDESLIGA!G284&gt;BUNDESLIGA!H284,"",IF(BUNDESLIGA!G284&lt;BUNDESLIGA!H284,"","")))</f>
        <v>1. FC Köln</v>
      </c>
      <c r="H102" s="72" t="str">
        <f>BUNDESLIGA!I284&amp;IF(OR(BUNDESLIGA!G284="",BUNDESLIGA!H284=""),"",IF(BUNDESLIGA!G284&lt;BUNDESLIGA!H284,"",IF(BUNDESLIGA!G284&gt;BUNDESLIGA!H284,"","")))</f>
        <v>1. FSV Mainz 05</v>
      </c>
      <c r="I102" s="161" t="str">
        <f>IF(BUNDESLIGA!G284&lt;&gt;"",BUNDESLIGA!G284&amp;" - "&amp;BUNDESLIGA!H284,"")</f>
        <v/>
      </c>
      <c r="J102" s="162"/>
      <c r="L102" s="71" t="str">
        <f>BUNDESLIGA!F339&amp;IF(OR(BUNDESLIGA!G339="",BUNDESLIGA!H339=""),"",IF(BUNDESLIGA!G339&gt;BUNDESLIGA!H339,"",IF(BUNDESLIGA!G339&lt;BUNDESLIGA!H339,"","")))</f>
        <v>SC Paderborn 07</v>
      </c>
      <c r="M102" s="72" t="str">
        <f>BUNDESLIGA!I339&amp;IF(OR(BUNDESLIGA!G339="",BUNDESLIGA!H339=""),"",IF(BUNDESLIGA!G339&lt;BUNDESLIGA!H339,"",IF(BUNDESLIGA!G339&gt;BUNDESLIGA!H339,"","")))</f>
        <v>Werder Bremen</v>
      </c>
      <c r="N102" s="161" t="str">
        <f>IF(BUNDESLIGA!G339&lt;&gt;"",BUNDESLIGA!G339&amp;" - "&amp;BUNDESLIGA!H339,"")</f>
        <v/>
      </c>
      <c r="O102" s="162"/>
      <c r="Q102" s="60"/>
      <c r="R102" s="60"/>
    </row>
    <row r="103" spans="2:18" x14ac:dyDescent="0.25">
      <c r="B103" s="71" t="str">
        <f>BUNDESLIGA!F230&amp;IF(OR(BUNDESLIGA!G230="",BUNDESLIGA!H230=""),"",IF(BUNDESLIGA!G230&gt;BUNDESLIGA!H230,"",IF(BUNDESLIGA!G230&lt;BUNDESLIGA!H230,"","")))</f>
        <v>Bor. Mönchengladbach</v>
      </c>
      <c r="C103" s="72" t="str">
        <f>BUNDESLIGA!I230&amp;IF(OR(BUNDESLIGA!G230="",BUNDESLIGA!H230=""),"",IF(BUNDESLIGA!G230&lt;BUNDESLIGA!H230,"",IF(BUNDESLIGA!G230&gt;BUNDESLIGA!H230,"","")))</f>
        <v>1. FC Köln</v>
      </c>
      <c r="D103" s="161" t="str">
        <f>IF(BUNDESLIGA!G230&lt;&gt;"",BUNDESLIGA!G230&amp;" - "&amp;BUNDESLIGA!H230,"")</f>
        <v/>
      </c>
      <c r="E103" s="162"/>
      <c r="G103" s="71" t="str">
        <f>BUNDESLIGA!F285&amp;IF(OR(BUNDESLIGA!G285="",BUNDESLIGA!H285=""),"",IF(BUNDESLIGA!G285&gt;BUNDESLIGA!H285,"",IF(BUNDESLIGA!G285&lt;BUNDESLIGA!H285,"","")))</f>
        <v>RB Leipzig</v>
      </c>
      <c r="H103" s="72" t="str">
        <f>BUNDESLIGA!I285&amp;IF(OR(BUNDESLIGA!G285="",BUNDESLIGA!H285=""),"",IF(BUNDESLIGA!G285&lt;BUNDESLIGA!H285,"",IF(BUNDESLIGA!G285&gt;BUNDESLIGA!H285,"","")))</f>
        <v>SC Freiburg</v>
      </c>
      <c r="I103" s="161" t="str">
        <f>IF(BUNDESLIGA!G285&lt;&gt;"",BUNDESLIGA!G285&amp;" - "&amp;BUNDESLIGA!H285,"")</f>
        <v/>
      </c>
      <c r="J103" s="162"/>
      <c r="L103" s="71" t="str">
        <f>BUNDESLIGA!F340&amp;IF(OR(BUNDESLIGA!G340="",BUNDESLIGA!H340=""),"",IF(BUNDESLIGA!G340&gt;BUNDESLIGA!H340,"",IF(BUNDESLIGA!G340&lt;BUNDESLIGA!H340,"","")))</f>
        <v>VfL Wolfsburg</v>
      </c>
      <c r="M103" s="72" t="str">
        <f>BUNDESLIGA!I340&amp;IF(OR(BUNDESLIGA!G340="",BUNDESLIGA!H340=""),"",IF(BUNDESLIGA!G340&lt;BUNDESLIGA!H340,"",IF(BUNDESLIGA!G340&gt;BUNDESLIGA!H340,"","")))</f>
        <v>SC Freiburg</v>
      </c>
      <c r="N103" s="161" t="str">
        <f>IF(BUNDESLIGA!G340&lt;&gt;"",BUNDESLIGA!G340&amp;" - "&amp;BUNDESLIGA!H340,"")</f>
        <v/>
      </c>
      <c r="O103" s="162"/>
      <c r="Q103" s="60"/>
      <c r="R103" s="60"/>
    </row>
    <row r="104" spans="2:18" x14ac:dyDescent="0.25">
      <c r="B104" s="71" t="str">
        <f>BUNDESLIGA!F231&amp;IF(OR(BUNDESLIGA!G231="",BUNDESLIGA!H231=""),"",IF(BUNDESLIGA!G231&gt;BUNDESLIGA!H231,"",IF(BUNDESLIGA!G231&lt;BUNDESLIGA!H231,"","")))</f>
        <v>FC Schalke 04</v>
      </c>
      <c r="C104" s="72" t="str">
        <f>BUNDESLIGA!I231&amp;IF(OR(BUNDESLIGA!G231="",BUNDESLIGA!H231=""),"",IF(BUNDESLIGA!G231&lt;BUNDESLIGA!H231,"",IF(BUNDESLIGA!G231&gt;BUNDESLIGA!H231,"","")))</f>
        <v>SC Paderborn 07</v>
      </c>
      <c r="D104" s="161" t="str">
        <f>IF(BUNDESLIGA!G231&lt;&gt;"",BUNDESLIGA!G231&amp;" - "&amp;BUNDESLIGA!H231,"")</f>
        <v>1 - 1</v>
      </c>
      <c r="E104" s="162"/>
      <c r="G104" s="71" t="str">
        <f>BUNDESLIGA!F286&amp;IF(OR(BUNDESLIGA!G286="",BUNDESLIGA!H286=""),"",IF(BUNDESLIGA!G286&gt;BUNDESLIGA!H286,"",IF(BUNDESLIGA!G286&lt;BUNDESLIGA!H286,"","")))</f>
        <v>Borussia Dortmund</v>
      </c>
      <c r="H104" s="72" t="str">
        <f>BUNDESLIGA!I286&amp;IF(OR(BUNDESLIGA!G286="",BUNDESLIGA!H286=""),"",IF(BUNDESLIGA!G286&lt;BUNDESLIGA!H286,"",IF(BUNDESLIGA!G286&gt;BUNDESLIGA!H286,"","")))</f>
        <v>FC Schalke 04</v>
      </c>
      <c r="I104" s="161" t="str">
        <f>IF(BUNDESLIGA!G286&lt;&gt;"",BUNDESLIGA!G286&amp;" - "&amp;BUNDESLIGA!H286,"")</f>
        <v/>
      </c>
      <c r="J104" s="162"/>
      <c r="L104" s="71" t="str">
        <f>BUNDESLIGA!F341&amp;IF(OR(BUNDESLIGA!G341="",BUNDESLIGA!H341=""),"",IF(BUNDESLIGA!G341&gt;BUNDESLIGA!H341,"",IF(BUNDESLIGA!G341&lt;BUNDESLIGA!H341,"","")))</f>
        <v>1. FSV Mainz 05</v>
      </c>
      <c r="M104" s="72" t="str">
        <f>BUNDESLIGA!I341&amp;IF(OR(BUNDESLIGA!G341="",BUNDESLIGA!H341=""),"",IF(BUNDESLIGA!G341&lt;BUNDESLIGA!H341,"",IF(BUNDESLIGA!G341&gt;BUNDESLIGA!H341,"","")))</f>
        <v>FC Augsburg</v>
      </c>
      <c r="N104" s="161" t="str">
        <f>IF(BUNDESLIGA!G341&lt;&gt;"",BUNDESLIGA!G341&amp;" - "&amp;BUNDESLIGA!H341,"")</f>
        <v/>
      </c>
      <c r="O104" s="162"/>
      <c r="Q104" s="60"/>
      <c r="R104" s="60"/>
    </row>
    <row r="105" spans="2:18" x14ac:dyDescent="0.25">
      <c r="B105" s="71" t="str">
        <f>BUNDESLIGA!F232&amp;IF(OR(BUNDESLIGA!G232="",BUNDESLIGA!H232=""),"",IF(BUNDESLIGA!G232&gt;BUNDESLIGA!H232,"",IF(BUNDESLIGA!G232&lt;BUNDESLIGA!H232,"","")))</f>
        <v>Werder Bremen</v>
      </c>
      <c r="C105" s="72" t="str">
        <f>BUNDESLIGA!I232&amp;IF(OR(BUNDESLIGA!G232="",BUNDESLIGA!H232=""),"",IF(BUNDESLIGA!G232&lt;BUNDESLIGA!H232,"",IF(BUNDESLIGA!G232&gt;BUNDESLIGA!H232,"","")))</f>
        <v>1. FC Union Berlin</v>
      </c>
      <c r="D105" s="161" t="str">
        <f>IF(BUNDESLIGA!G232&lt;&gt;"",BUNDESLIGA!G232&amp;" - "&amp;BUNDESLIGA!H232,"")</f>
        <v>0 - 2</v>
      </c>
      <c r="E105" s="162"/>
      <c r="G105" s="71" t="str">
        <f>BUNDESLIGA!F287&amp;IF(OR(BUNDESLIGA!G287="",BUNDESLIGA!H287=""),"",IF(BUNDESLIGA!G287&gt;BUNDESLIGA!H287,"",IF(BUNDESLIGA!G287&lt;BUNDESLIGA!H287,"","")))</f>
        <v>Fortuna Düsseldorf</v>
      </c>
      <c r="H105" s="72" t="str">
        <f>BUNDESLIGA!I287&amp;IF(OR(BUNDESLIGA!G287="",BUNDESLIGA!H287=""),"",IF(BUNDESLIGA!G287&lt;BUNDESLIGA!H287,"",IF(BUNDESLIGA!G287&gt;BUNDESLIGA!H287,"","")))</f>
        <v>SC Paderborn 07</v>
      </c>
      <c r="I105" s="161" t="str">
        <f>IF(BUNDESLIGA!G287&lt;&gt;"",BUNDESLIGA!G287&amp;" - "&amp;BUNDESLIGA!H287,"")</f>
        <v/>
      </c>
      <c r="J105" s="162"/>
      <c r="L105" s="71" t="str">
        <f>BUNDESLIGA!F342&amp;IF(OR(BUNDESLIGA!G342="",BUNDESLIGA!H342=""),"",IF(BUNDESLIGA!G342&gt;BUNDESLIGA!H342,"",IF(BUNDESLIGA!G342&lt;BUNDESLIGA!H342,"","")))</f>
        <v>1. FC Köln</v>
      </c>
      <c r="M105" s="72" t="str">
        <f>BUNDESLIGA!I342&amp;IF(OR(BUNDESLIGA!G342="",BUNDESLIGA!H342=""),"",IF(BUNDESLIGA!G342&lt;BUNDESLIGA!H342,"",IF(BUNDESLIGA!G342&gt;BUNDESLIGA!H342,"","")))</f>
        <v>1. FC Union Berlin</v>
      </c>
      <c r="N105" s="161" t="str">
        <f>IF(BUNDESLIGA!G342&lt;&gt;"",BUNDESLIGA!G342&amp;" - "&amp;BUNDESLIGA!H342,"")</f>
        <v/>
      </c>
      <c r="O105" s="162"/>
      <c r="Q105" s="60"/>
      <c r="R105" s="60"/>
    </row>
    <row r="106" spans="2:18" x14ac:dyDescent="0.25">
      <c r="B106" s="60" t="str">
        <f>BUNDESLIGA!F233&amp;IF(OR(BUNDESLIGA!G233="",BUNDESLIGA!H233=""),"",IF(BUNDESLIGA!G233&gt;BUNDESLIGA!H233,"",IF(BUNDESLIGA!G233&lt;BUNDESLIGA!H233,"","")))</f>
        <v/>
      </c>
      <c r="C106" s="60" t="str">
        <f>BUNDESLIGA!I233&amp;IF(OR(BUNDESLIGA!G233="",BUNDESLIGA!H233=""),"",IF(BUNDESLIGA!G233&lt;BUNDESLIGA!H233,"",IF(BUNDESLIGA!G233&gt;BUNDESLIGA!H233,"","")))</f>
        <v/>
      </c>
      <c r="G106" s="63" t="str">
        <f>BUNDESLIGA!F288&amp;IF(OR(BUNDESLIGA!G288="",BUNDESLIGA!H288=""),"",IF(BUNDESLIGA!G288&gt;BUNDESLIGA!H288,"",IF(BUNDESLIGA!G288&lt;BUNDESLIGA!H288,"","")))</f>
        <v/>
      </c>
      <c r="H106" s="63" t="str">
        <f>BUNDESLIGA!I288&amp;IF(OR(BUNDESLIGA!G288="",BUNDESLIGA!H288=""),"",IF(BUNDESLIGA!G288&lt;BUNDESLIGA!H288,"",IF(BUNDESLIGA!G288&gt;BUNDESLIGA!H288,"","")))</f>
        <v/>
      </c>
      <c r="L106" s="60" t="str">
        <f>BUNDESLIGA!F343&amp;IF(OR(BUNDESLIGA!G343="",BUNDESLIGA!H343=""),"",IF(BUNDESLIGA!G343&gt;BUNDESLIGA!H343,"",IF(BUNDESLIGA!G343&lt;BUNDESLIGA!H343,"","")))</f>
        <v/>
      </c>
      <c r="M106" s="60" t="str">
        <f>BUNDESLIGA!I343&amp;IF(OR(BUNDESLIGA!G343="",BUNDESLIGA!H343=""),"",IF(BUNDESLIGA!G343&lt;BUNDESLIGA!H343,"",IF(BUNDESLIGA!G343&gt;BUNDESLIGA!H343,"","")))</f>
        <v/>
      </c>
      <c r="Q106" s="60"/>
      <c r="R106" s="60"/>
    </row>
    <row r="107" spans="2:18" x14ac:dyDescent="0.25">
      <c r="B107" s="158" t="str">
        <f>BUNDESLIGA!F234&amp;IF(OR(BUNDESLIGA!G234="",BUNDESLIGA!H234=""),"",IF(BUNDESLIGA!G234&gt;BUNDESLIGA!H234,"",IF(BUNDESLIGA!G234&lt;BUNDESLIGA!H234,"","")))</f>
        <v>JOURNEE 22</v>
      </c>
      <c r="C107" s="159"/>
      <c r="D107" s="159"/>
      <c r="E107" s="160"/>
      <c r="G107" s="158" t="str">
        <f>BUNDESLIGA!F289&amp;IF(OR(BUNDESLIGA!G289="",BUNDESLIGA!H289=""),"",IF(BUNDESLIGA!G289&gt;BUNDESLIGA!H289,"",IF(BUNDESLIGA!G289&lt;BUNDESLIGA!H289,"","")))</f>
        <v>JOURNEE 27</v>
      </c>
      <c r="H107" s="159"/>
      <c r="I107" s="159"/>
      <c r="J107" s="160"/>
      <c r="L107" s="158" t="str">
        <f>BUNDESLIGA!F344&amp;IF(OR(BUNDESLIGA!G344="",BUNDESLIGA!H344=""),"",IF(BUNDESLIGA!G344&gt;BUNDESLIGA!H344,"",IF(BUNDESLIGA!G344&lt;BUNDESLIGA!H344,"","")))</f>
        <v>JOURNEE 32</v>
      </c>
      <c r="M107" s="159"/>
      <c r="N107" s="159"/>
      <c r="O107" s="160"/>
      <c r="Q107" s="60"/>
      <c r="R107" s="60"/>
    </row>
    <row r="108" spans="2:18" x14ac:dyDescent="0.25">
      <c r="B108" s="71" t="str">
        <f>BUNDESLIGA!F235&amp;IF(OR(BUNDESLIGA!G235="",BUNDESLIGA!H235=""),"",IF(BUNDESLIGA!G235&gt;BUNDESLIGA!H235,"",IF(BUNDESLIGA!G235&lt;BUNDESLIGA!H235,"","")))</f>
        <v>1. FC Köln</v>
      </c>
      <c r="C108" s="72" t="str">
        <f>BUNDESLIGA!I235&amp;IF(OR(BUNDESLIGA!G235="",BUNDESLIGA!H235=""),"",IF(BUNDESLIGA!G235&lt;BUNDESLIGA!H235,"",IF(BUNDESLIGA!G235&gt;BUNDESLIGA!H235,"","")))</f>
        <v>Bayern München</v>
      </c>
      <c r="D108" s="161" t="str">
        <f>IF(BUNDESLIGA!G235&lt;&gt;"",BUNDESLIGA!G235&amp;" - "&amp;BUNDESLIGA!H235,"")</f>
        <v>1 - 4</v>
      </c>
      <c r="E108" s="162"/>
      <c r="G108" s="71" t="str">
        <f>BUNDESLIGA!F290&amp;IF(OR(BUNDESLIGA!G290="",BUNDESLIGA!H290=""),"",IF(BUNDESLIGA!G290&gt;BUNDESLIGA!H290,"",IF(BUNDESLIGA!G290&lt;BUNDESLIGA!H290,"","")))</f>
        <v>VfL Wolfsburg</v>
      </c>
      <c r="H108" s="72" t="str">
        <f>BUNDESLIGA!I290&amp;IF(OR(BUNDESLIGA!G290="",BUNDESLIGA!H290=""),"",IF(BUNDESLIGA!G290&lt;BUNDESLIGA!H290,"",IF(BUNDESLIGA!G290&gt;BUNDESLIGA!H290,"","")))</f>
        <v>Borussia Dortmund</v>
      </c>
      <c r="I108" s="161" t="str">
        <f>IF(BUNDESLIGA!G290&lt;&gt;"",BUNDESLIGA!G290&amp;" - "&amp;BUNDESLIGA!H290,"")</f>
        <v/>
      </c>
      <c r="J108" s="162"/>
      <c r="L108" s="71" t="str">
        <f>BUNDESLIGA!F345&amp;IF(OR(BUNDESLIGA!G345="",BUNDESLIGA!H345=""),"",IF(BUNDESLIGA!G345&gt;BUNDESLIGA!H345,"",IF(BUNDESLIGA!G345&lt;BUNDESLIGA!H345,"","")))</f>
        <v>Werder Bremen</v>
      </c>
      <c r="M108" s="72" t="str">
        <f>BUNDESLIGA!I345&amp;IF(OR(BUNDESLIGA!G345="",BUNDESLIGA!H345=""),"",IF(BUNDESLIGA!G345&lt;BUNDESLIGA!H345,"",IF(BUNDESLIGA!G345&gt;BUNDESLIGA!H345,"","")))</f>
        <v>Bayern München</v>
      </c>
      <c r="N108" s="161" t="str">
        <f>IF(BUNDESLIGA!G345&lt;&gt;"",BUNDESLIGA!G345&amp;" - "&amp;BUNDESLIGA!H345,"")</f>
        <v/>
      </c>
      <c r="O108" s="162"/>
      <c r="Q108" s="60"/>
      <c r="R108" s="60"/>
    </row>
    <row r="109" spans="2:18" x14ac:dyDescent="0.25">
      <c r="B109" s="71" t="str">
        <f>BUNDESLIGA!F236&amp;IF(OR(BUNDESLIGA!G236="",BUNDESLIGA!H236=""),"",IF(BUNDESLIGA!G236&gt;BUNDESLIGA!H236,"",IF(BUNDESLIGA!G236&lt;BUNDESLIGA!H236,"","")))</f>
        <v>1. FC Union Berlin</v>
      </c>
      <c r="C109" s="72" t="str">
        <f>BUNDESLIGA!I236&amp;IF(OR(BUNDESLIGA!G236="",BUNDESLIGA!H236=""),"",IF(BUNDESLIGA!G236&lt;BUNDESLIGA!H236,"",IF(BUNDESLIGA!G236&gt;BUNDESLIGA!H236,"","")))</f>
        <v>Bayer Leverkusen</v>
      </c>
      <c r="D109" s="161" t="str">
        <f>IF(BUNDESLIGA!G236&lt;&gt;"",BUNDESLIGA!G236&amp;" - "&amp;BUNDESLIGA!H236,"")</f>
        <v>2 - 3</v>
      </c>
      <c r="E109" s="162"/>
      <c r="G109" s="71" t="str">
        <f>BUNDESLIGA!F291&amp;IF(OR(BUNDESLIGA!G291="",BUNDESLIGA!H291=""),"",IF(BUNDESLIGA!G291&gt;BUNDESLIGA!H291,"",IF(BUNDESLIGA!G291&lt;BUNDESLIGA!H291,"","")))</f>
        <v>1. FSV Mainz 05</v>
      </c>
      <c r="H109" s="72" t="str">
        <f>BUNDESLIGA!I291&amp;IF(OR(BUNDESLIGA!G291="",BUNDESLIGA!H291=""),"",IF(BUNDESLIGA!G291&lt;BUNDESLIGA!H291,"",IF(BUNDESLIGA!G291&gt;BUNDESLIGA!H291,"","")))</f>
        <v>RB Leipzig</v>
      </c>
      <c r="I109" s="161" t="str">
        <f>IF(BUNDESLIGA!G291&lt;&gt;"",BUNDESLIGA!G291&amp;" - "&amp;BUNDESLIGA!H291,"")</f>
        <v/>
      </c>
      <c r="J109" s="162"/>
      <c r="L109" s="71" t="str">
        <f>BUNDESLIGA!F346&amp;IF(OR(BUNDESLIGA!G346="",BUNDESLIGA!H346=""),"",IF(BUNDESLIGA!G346&gt;BUNDESLIGA!H346,"",IF(BUNDESLIGA!G346&lt;BUNDESLIGA!H346,"","")))</f>
        <v>Bor. Mönchengladbach</v>
      </c>
      <c r="M109" s="72" t="str">
        <f>BUNDESLIGA!I346&amp;IF(OR(BUNDESLIGA!G346="",BUNDESLIGA!H346=""),"",IF(BUNDESLIGA!G346&lt;BUNDESLIGA!H346,"",IF(BUNDESLIGA!G346&gt;BUNDESLIGA!H346,"","")))</f>
        <v>VfL Wolfsburg</v>
      </c>
      <c r="N109" s="161" t="str">
        <f>IF(BUNDESLIGA!G346&lt;&gt;"",BUNDESLIGA!G346&amp;" - "&amp;BUNDESLIGA!H346,"")</f>
        <v/>
      </c>
      <c r="O109" s="162"/>
      <c r="Q109" s="60"/>
      <c r="R109" s="60"/>
    </row>
    <row r="110" spans="2:18" x14ac:dyDescent="0.25">
      <c r="B110" s="71" t="str">
        <f>BUNDESLIGA!F237&amp;IF(OR(BUNDESLIGA!G237="",BUNDESLIGA!H237=""),"",IF(BUNDESLIGA!G237&gt;BUNDESLIGA!H237,"",IF(BUNDESLIGA!G237&lt;BUNDESLIGA!H237,"","")))</f>
        <v>Fortuna Düsseldorf</v>
      </c>
      <c r="C110" s="72" t="str">
        <f>BUNDESLIGA!I237&amp;IF(OR(BUNDESLIGA!G237="",BUNDESLIGA!H237=""),"",IF(BUNDESLIGA!G237&lt;BUNDESLIGA!H237,"",IF(BUNDESLIGA!G237&gt;BUNDESLIGA!H237,"","")))</f>
        <v>Bor. Mönchengladbach</v>
      </c>
      <c r="D110" s="161" t="str">
        <f>IF(BUNDESLIGA!G237&lt;&gt;"",BUNDESLIGA!G237&amp;" - "&amp;BUNDESLIGA!H237,"")</f>
        <v>1 - 4</v>
      </c>
      <c r="E110" s="162"/>
      <c r="G110" s="71" t="str">
        <f>BUNDESLIGA!F292&amp;IF(OR(BUNDESLIGA!G292="",BUNDESLIGA!H292=""),"",IF(BUNDESLIGA!G292&gt;BUNDESLIGA!H292,"",IF(BUNDESLIGA!G292&lt;BUNDESLIGA!H292,"","")))</f>
        <v>Bor. Mönchengladbach</v>
      </c>
      <c r="H110" s="72" t="str">
        <f>BUNDESLIGA!I292&amp;IF(OR(BUNDESLIGA!G292="",BUNDESLIGA!H292=""),"",IF(BUNDESLIGA!G292&lt;BUNDESLIGA!H292,"",IF(BUNDESLIGA!G292&gt;BUNDESLIGA!H292,"","")))</f>
        <v>Bayer Leverkusen</v>
      </c>
      <c r="I110" s="161" t="str">
        <f>IF(BUNDESLIGA!G292&lt;&gt;"",BUNDESLIGA!G292&amp;" - "&amp;BUNDESLIGA!H292,"")</f>
        <v/>
      </c>
      <c r="J110" s="162"/>
      <c r="L110" s="71" t="str">
        <f>BUNDESLIGA!F347&amp;IF(OR(BUNDESLIGA!G347="",BUNDESLIGA!H347=""),"",IF(BUNDESLIGA!G347&gt;BUNDESLIGA!H347,"",IF(BUNDESLIGA!G347&lt;BUNDESLIGA!H347,"","")))</f>
        <v>FC Augsburg</v>
      </c>
      <c r="M110" s="72" t="str">
        <f>BUNDESLIGA!I347&amp;IF(OR(BUNDESLIGA!G347="",BUNDESLIGA!H347=""),"",IF(BUNDESLIGA!G347&lt;BUNDESLIGA!H347,"",IF(BUNDESLIGA!G347&gt;BUNDESLIGA!H347,"","")))</f>
        <v>1899 Hoffenheim</v>
      </c>
      <c r="N110" s="161" t="str">
        <f>IF(BUNDESLIGA!G347&lt;&gt;"",BUNDESLIGA!G347&amp;" - "&amp;BUNDESLIGA!H347,"")</f>
        <v/>
      </c>
      <c r="O110" s="162"/>
      <c r="Q110" s="60"/>
      <c r="R110" s="60"/>
    </row>
    <row r="111" spans="2:18" x14ac:dyDescent="0.25">
      <c r="B111" s="71" t="str">
        <f>BUNDESLIGA!F238&amp;IF(OR(BUNDESLIGA!G238="",BUNDESLIGA!H238=""),"",IF(BUNDESLIGA!G238&gt;BUNDESLIGA!H238,"",IF(BUNDESLIGA!G238&lt;BUNDESLIGA!H238,"","")))</f>
        <v>1899 Hoffenheim</v>
      </c>
      <c r="C111" s="72" t="str">
        <f>BUNDESLIGA!I238&amp;IF(OR(BUNDESLIGA!G238="",BUNDESLIGA!H238=""),"",IF(BUNDESLIGA!G238&lt;BUNDESLIGA!H238,"",IF(BUNDESLIGA!G238&gt;BUNDESLIGA!H238,"","")))</f>
        <v>VfL Wolfsburg</v>
      </c>
      <c r="D111" s="161" t="str">
        <f>IF(BUNDESLIGA!G238&lt;&gt;"",BUNDESLIGA!G238&amp;" - "&amp;BUNDESLIGA!H238,"")</f>
        <v>2 - 3</v>
      </c>
      <c r="E111" s="162"/>
      <c r="G111" s="71" t="str">
        <f>BUNDESLIGA!F293&amp;IF(OR(BUNDESLIGA!G293="",BUNDESLIGA!H293=""),"",IF(BUNDESLIGA!G293&gt;BUNDESLIGA!H293,"",IF(BUNDESLIGA!G293&lt;BUNDESLIGA!H293,"","")))</f>
        <v>Bayern München</v>
      </c>
      <c r="H111" s="72" t="str">
        <f>BUNDESLIGA!I293&amp;IF(OR(BUNDESLIGA!G293="",BUNDESLIGA!H293=""),"",IF(BUNDESLIGA!G293&lt;BUNDESLIGA!H293,"",IF(BUNDESLIGA!G293&gt;BUNDESLIGA!H293,"","")))</f>
        <v>Eintracht Frankfurt</v>
      </c>
      <c r="I111" s="161" t="str">
        <f>IF(BUNDESLIGA!G293&lt;&gt;"",BUNDESLIGA!G293&amp;" - "&amp;BUNDESLIGA!H293,"")</f>
        <v/>
      </c>
      <c r="J111" s="162"/>
      <c r="L111" s="71" t="str">
        <f>BUNDESLIGA!F348&amp;IF(OR(BUNDESLIGA!G348="",BUNDESLIGA!H348=""),"",IF(BUNDESLIGA!G348&gt;BUNDESLIGA!H348,"",IF(BUNDESLIGA!G348&lt;BUNDESLIGA!H348,"","")))</f>
        <v>RB Leipzig</v>
      </c>
      <c r="M111" s="72" t="str">
        <f>BUNDESLIGA!I348&amp;IF(OR(BUNDESLIGA!G348="",BUNDESLIGA!H348=""),"",IF(BUNDESLIGA!G348&lt;BUNDESLIGA!H348,"",IF(BUNDESLIGA!G348&gt;BUNDESLIGA!H348,"","")))</f>
        <v>Fortuna Düsseldorf</v>
      </c>
      <c r="N111" s="161" t="str">
        <f>IF(BUNDESLIGA!G348&lt;&gt;"",BUNDESLIGA!G348&amp;" - "&amp;BUNDESLIGA!H348,"")</f>
        <v/>
      </c>
      <c r="O111" s="162"/>
      <c r="Q111" s="60"/>
      <c r="R111" s="60"/>
    </row>
    <row r="112" spans="2:18" x14ac:dyDescent="0.25">
      <c r="B112" s="71" t="str">
        <f>BUNDESLIGA!F239&amp;IF(OR(BUNDESLIGA!G239="",BUNDESLIGA!H239=""),"",IF(BUNDESLIGA!G239&gt;BUNDESLIGA!H239,"",IF(BUNDESLIGA!G239&lt;BUNDESLIGA!H239,"","")))</f>
        <v>Borussia Dortmund</v>
      </c>
      <c r="C112" s="72" t="str">
        <f>BUNDESLIGA!I239&amp;IF(OR(BUNDESLIGA!G239="",BUNDESLIGA!H239=""),"",IF(BUNDESLIGA!G239&lt;BUNDESLIGA!H239,"",IF(BUNDESLIGA!G239&gt;BUNDESLIGA!H239,"","")))</f>
        <v>Eintracht Frankfurt</v>
      </c>
      <c r="D112" s="161" t="str">
        <f>IF(BUNDESLIGA!G239&lt;&gt;"",BUNDESLIGA!G239&amp;" - "&amp;BUNDESLIGA!H239,"")</f>
        <v>4 - 0</v>
      </c>
      <c r="E112" s="162"/>
      <c r="G112" s="71" t="str">
        <f>BUNDESLIGA!F294&amp;IF(OR(BUNDESLIGA!G294="",BUNDESLIGA!H294=""),"",IF(BUNDESLIGA!G294&gt;BUNDESLIGA!H294,"",IF(BUNDESLIGA!G294&lt;BUNDESLIGA!H294,"","")))</f>
        <v>SC Freiburg</v>
      </c>
      <c r="H112" s="72" t="str">
        <f>BUNDESLIGA!I294&amp;IF(OR(BUNDESLIGA!G294="",BUNDESLIGA!H294=""),"",IF(BUNDESLIGA!G294&lt;BUNDESLIGA!H294,"",IF(BUNDESLIGA!G294&gt;BUNDESLIGA!H294,"","")))</f>
        <v>Werder Bremen</v>
      </c>
      <c r="I112" s="161" t="str">
        <f>IF(BUNDESLIGA!G294&lt;&gt;"",BUNDESLIGA!G294&amp;" - "&amp;BUNDESLIGA!H294,"")</f>
        <v/>
      </c>
      <c r="J112" s="162"/>
      <c r="L112" s="71" t="str">
        <f>BUNDESLIGA!F349&amp;IF(OR(BUNDESLIGA!G349="",BUNDESLIGA!H349=""),"",IF(BUNDESLIGA!G349&gt;BUNDESLIGA!H349,"",IF(BUNDESLIGA!G349&lt;BUNDESLIGA!H349,"","")))</f>
        <v>SC Freiburg</v>
      </c>
      <c r="M112" s="72" t="str">
        <f>BUNDESLIGA!I349&amp;IF(OR(BUNDESLIGA!G349="",BUNDESLIGA!H349=""),"",IF(BUNDESLIGA!G349&lt;BUNDESLIGA!H349,"",IF(BUNDESLIGA!G349&gt;BUNDESLIGA!H349,"","")))</f>
        <v>Hertha BSC</v>
      </c>
      <c r="N112" s="161" t="str">
        <f>IF(BUNDESLIGA!G349&lt;&gt;"",BUNDESLIGA!G349&amp;" - "&amp;BUNDESLIGA!H349,"")</f>
        <v/>
      </c>
      <c r="O112" s="162"/>
      <c r="Q112" s="60"/>
      <c r="R112" s="60"/>
    </row>
    <row r="113" spans="2:18" x14ac:dyDescent="0.25">
      <c r="B113" s="71" t="str">
        <f>BUNDESLIGA!F240&amp;IF(OR(BUNDESLIGA!G240="",BUNDESLIGA!H240=""),"",IF(BUNDESLIGA!G240&gt;BUNDESLIGA!H240,"",IF(BUNDESLIGA!G240&lt;BUNDESLIGA!H240,"","")))</f>
        <v>RB Leipzig</v>
      </c>
      <c r="C113" s="72" t="str">
        <f>BUNDESLIGA!I240&amp;IF(OR(BUNDESLIGA!G240="",BUNDESLIGA!H240=""),"",IF(BUNDESLIGA!G240&lt;BUNDESLIGA!H240,"",IF(BUNDESLIGA!G240&gt;BUNDESLIGA!H240,"","")))</f>
        <v>Werder Bremen</v>
      </c>
      <c r="D113" s="161" t="str">
        <f>IF(BUNDESLIGA!G240&lt;&gt;"",BUNDESLIGA!G240&amp;" - "&amp;BUNDESLIGA!H240,"")</f>
        <v>3 - 0</v>
      </c>
      <c r="E113" s="162"/>
      <c r="G113" s="71" t="str">
        <f>BUNDESLIGA!F295&amp;IF(OR(BUNDESLIGA!G295="",BUNDESLIGA!H295=""),"",IF(BUNDESLIGA!G295&gt;BUNDESLIGA!H295,"",IF(BUNDESLIGA!G295&lt;BUNDESLIGA!H295,"","")))</f>
        <v>SC Paderborn 07</v>
      </c>
      <c r="H113" s="72" t="str">
        <f>BUNDESLIGA!I295&amp;IF(OR(BUNDESLIGA!G295="",BUNDESLIGA!H295=""),"",IF(BUNDESLIGA!G295&lt;BUNDESLIGA!H295,"",IF(BUNDESLIGA!G295&gt;BUNDESLIGA!H295,"","")))</f>
        <v>1899 Hoffenheim</v>
      </c>
      <c r="I113" s="161" t="str">
        <f>IF(BUNDESLIGA!G295&lt;&gt;"",BUNDESLIGA!G295&amp;" - "&amp;BUNDESLIGA!H295,"")</f>
        <v/>
      </c>
      <c r="J113" s="162"/>
      <c r="L113" s="71" t="str">
        <f>BUNDESLIGA!F350&amp;IF(OR(BUNDESLIGA!G350="",BUNDESLIGA!H350=""),"",IF(BUNDESLIGA!G350&gt;BUNDESLIGA!H350,"",IF(BUNDESLIGA!G350&lt;BUNDESLIGA!H350,"","")))</f>
        <v>Borussia Dortmund</v>
      </c>
      <c r="M113" s="72" t="str">
        <f>BUNDESLIGA!I350&amp;IF(OR(BUNDESLIGA!G350="",BUNDESLIGA!H350=""),"",IF(BUNDESLIGA!G350&lt;BUNDESLIGA!H350,"",IF(BUNDESLIGA!G350&gt;BUNDESLIGA!H350,"","")))</f>
        <v>1. FSV Mainz 05</v>
      </c>
      <c r="N113" s="161" t="str">
        <f>IF(BUNDESLIGA!G350&lt;&gt;"",BUNDESLIGA!G350&amp;" - "&amp;BUNDESLIGA!H350,"")</f>
        <v/>
      </c>
      <c r="O113" s="162"/>
      <c r="Q113" s="60"/>
      <c r="R113" s="60"/>
    </row>
    <row r="114" spans="2:18" x14ac:dyDescent="0.25">
      <c r="B114" s="71" t="str">
        <f>BUNDESLIGA!F241&amp;IF(OR(BUNDESLIGA!G241="",BUNDESLIGA!H241=""),"",IF(BUNDESLIGA!G241&gt;BUNDESLIGA!H241,"",IF(BUNDESLIGA!G241&lt;BUNDESLIGA!H241,"","")))</f>
        <v>SC Paderborn 07</v>
      </c>
      <c r="C114" s="72" t="str">
        <f>BUNDESLIGA!I241&amp;IF(OR(BUNDESLIGA!G241="",BUNDESLIGA!H241=""),"",IF(BUNDESLIGA!G241&lt;BUNDESLIGA!H241,"",IF(BUNDESLIGA!G241&gt;BUNDESLIGA!H241,"","")))</f>
        <v>Hertha BSC</v>
      </c>
      <c r="D114" s="161" t="str">
        <f>IF(BUNDESLIGA!G241&lt;&gt;"",BUNDESLIGA!G241&amp;" - "&amp;BUNDESLIGA!H241,"")</f>
        <v>1 - 2</v>
      </c>
      <c r="E114" s="162"/>
      <c r="G114" s="71" t="str">
        <f>BUNDESLIGA!F296&amp;IF(OR(BUNDESLIGA!G296="",BUNDESLIGA!H296=""),"",IF(BUNDESLIGA!G296&gt;BUNDESLIGA!H296,"",IF(BUNDESLIGA!G296&lt;BUNDESLIGA!H296,"","")))</f>
        <v>1. FC Köln</v>
      </c>
      <c r="H114" s="72" t="str">
        <f>BUNDESLIGA!I296&amp;IF(OR(BUNDESLIGA!G296="",BUNDESLIGA!H296=""),"",IF(BUNDESLIGA!G296&lt;BUNDESLIGA!H296,"",IF(BUNDESLIGA!G296&gt;BUNDESLIGA!H296,"","")))</f>
        <v>Fortuna Düsseldorf</v>
      </c>
      <c r="I114" s="161" t="str">
        <f>IF(BUNDESLIGA!G296&lt;&gt;"",BUNDESLIGA!G296&amp;" - "&amp;BUNDESLIGA!H296,"")</f>
        <v/>
      </c>
      <c r="J114" s="162"/>
      <c r="L114" s="71" t="str">
        <f>BUNDESLIGA!F351&amp;IF(OR(BUNDESLIGA!G351="",BUNDESLIGA!H351=""),"",IF(BUNDESLIGA!G351&gt;BUNDESLIGA!H351,"",IF(BUNDESLIGA!G351&lt;BUNDESLIGA!H351,"","")))</f>
        <v>Eintracht Frankfurt</v>
      </c>
      <c r="M114" s="72" t="str">
        <f>BUNDESLIGA!I351&amp;IF(OR(BUNDESLIGA!G351="",BUNDESLIGA!H351=""),"",IF(BUNDESLIGA!G351&lt;BUNDESLIGA!H351,"",IF(BUNDESLIGA!G351&gt;BUNDESLIGA!H351,"","")))</f>
        <v>FC Schalke 04</v>
      </c>
      <c r="N114" s="161" t="str">
        <f>IF(BUNDESLIGA!G351&lt;&gt;"",BUNDESLIGA!G351&amp;" - "&amp;BUNDESLIGA!H351,"")</f>
        <v/>
      </c>
      <c r="O114" s="162"/>
      <c r="Q114" s="60"/>
      <c r="R114" s="60"/>
    </row>
    <row r="115" spans="2:18" x14ac:dyDescent="0.25">
      <c r="B115" s="71" t="str">
        <f>BUNDESLIGA!F242&amp;IF(OR(BUNDESLIGA!G242="",BUNDESLIGA!H242=""),"",IF(BUNDESLIGA!G242&gt;BUNDESLIGA!H242,"",IF(BUNDESLIGA!G242&lt;BUNDESLIGA!H242,"","")))</f>
        <v>FC Augsburg</v>
      </c>
      <c r="C115" s="72" t="str">
        <f>BUNDESLIGA!I242&amp;IF(OR(BUNDESLIGA!G242="",BUNDESLIGA!H242=""),"",IF(BUNDESLIGA!G242&lt;BUNDESLIGA!H242,"",IF(BUNDESLIGA!G242&gt;BUNDESLIGA!H242,"","")))</f>
        <v>SC Freiburg</v>
      </c>
      <c r="D115" s="161" t="str">
        <f>IF(BUNDESLIGA!G242&lt;&gt;"",BUNDESLIGA!G242&amp;" - "&amp;BUNDESLIGA!H242,"")</f>
        <v>1 - 1</v>
      </c>
      <c r="E115" s="162"/>
      <c r="G115" s="71" t="str">
        <f>BUNDESLIGA!F297&amp;IF(OR(BUNDESLIGA!G297="",BUNDESLIGA!H297=""),"",IF(BUNDESLIGA!G297&gt;BUNDESLIGA!H297,"",IF(BUNDESLIGA!G297&lt;BUNDESLIGA!H297,"","")))</f>
        <v>FC Schalke 04</v>
      </c>
      <c r="H115" s="72" t="str">
        <f>BUNDESLIGA!I297&amp;IF(OR(BUNDESLIGA!G297="",BUNDESLIGA!H297=""),"",IF(BUNDESLIGA!G297&lt;BUNDESLIGA!H297,"",IF(BUNDESLIGA!G297&gt;BUNDESLIGA!H297,"","")))</f>
        <v>FC Augsburg</v>
      </c>
      <c r="I115" s="161" t="str">
        <f>IF(BUNDESLIGA!G297&lt;&gt;"",BUNDESLIGA!G297&amp;" - "&amp;BUNDESLIGA!H297,"")</f>
        <v/>
      </c>
      <c r="J115" s="162"/>
      <c r="L115" s="71" t="str">
        <f>BUNDESLIGA!F352&amp;IF(OR(BUNDESLIGA!G352="",BUNDESLIGA!H352=""),"",IF(BUNDESLIGA!G352&gt;BUNDESLIGA!H352,"",IF(BUNDESLIGA!G352&lt;BUNDESLIGA!H352,"","")))</f>
        <v>Bayer Leverkusen</v>
      </c>
      <c r="M115" s="72" t="str">
        <f>BUNDESLIGA!I352&amp;IF(OR(BUNDESLIGA!G352="",BUNDESLIGA!H352=""),"",IF(BUNDESLIGA!G352&lt;BUNDESLIGA!H352,"",IF(BUNDESLIGA!G352&gt;BUNDESLIGA!H352,"","")))</f>
        <v>1. FC Köln</v>
      </c>
      <c r="N115" s="161" t="str">
        <f>IF(BUNDESLIGA!G352&lt;&gt;"",BUNDESLIGA!G352&amp;" - "&amp;BUNDESLIGA!H352,"")</f>
        <v/>
      </c>
      <c r="O115" s="162"/>
      <c r="Q115" s="60"/>
      <c r="R115" s="60"/>
    </row>
    <row r="116" spans="2:18" x14ac:dyDescent="0.25">
      <c r="B116" s="71" t="str">
        <f>BUNDESLIGA!F243&amp;IF(OR(BUNDESLIGA!G243="",BUNDESLIGA!H243=""),"",IF(BUNDESLIGA!G243&gt;BUNDESLIGA!H243,"",IF(BUNDESLIGA!G243&lt;BUNDESLIGA!H243,"","")))</f>
        <v>1. FSV Mainz 05</v>
      </c>
      <c r="C116" s="72" t="str">
        <f>BUNDESLIGA!I243&amp;IF(OR(BUNDESLIGA!G243="",BUNDESLIGA!H243=""),"",IF(BUNDESLIGA!G243&lt;BUNDESLIGA!H243,"",IF(BUNDESLIGA!G243&gt;BUNDESLIGA!H243,"","")))</f>
        <v>FC Schalke 04</v>
      </c>
      <c r="D116" s="161" t="str">
        <f>IF(BUNDESLIGA!G243&lt;&gt;"",BUNDESLIGA!G243&amp;" - "&amp;BUNDESLIGA!H243,"")</f>
        <v>0 - 0</v>
      </c>
      <c r="E116" s="162"/>
      <c r="G116" s="71" t="str">
        <f>BUNDESLIGA!F298&amp;IF(OR(BUNDESLIGA!G298="",BUNDESLIGA!H298=""),"",IF(BUNDESLIGA!G298&gt;BUNDESLIGA!H298,"",IF(BUNDESLIGA!G298&lt;BUNDESLIGA!H298,"","")))</f>
        <v>Hertha BSC</v>
      </c>
      <c r="H116" s="72" t="str">
        <f>BUNDESLIGA!I298&amp;IF(OR(BUNDESLIGA!G298="",BUNDESLIGA!H298=""),"",IF(BUNDESLIGA!G298&lt;BUNDESLIGA!H298,"",IF(BUNDESLIGA!G298&gt;BUNDESLIGA!H298,"","")))</f>
        <v>1. FC Union Berlin</v>
      </c>
      <c r="I116" s="161" t="str">
        <f>IF(BUNDESLIGA!G298&lt;&gt;"",BUNDESLIGA!G298&amp;" - "&amp;BUNDESLIGA!H298,"")</f>
        <v/>
      </c>
      <c r="J116" s="162"/>
      <c r="L116" s="71" t="str">
        <f>BUNDESLIGA!F353&amp;IF(OR(BUNDESLIGA!G353="",BUNDESLIGA!H353=""),"",IF(BUNDESLIGA!G353&gt;BUNDESLIGA!H353,"",IF(BUNDESLIGA!G353&lt;BUNDESLIGA!H353,"","")))</f>
        <v>1. FC Union Berlin</v>
      </c>
      <c r="M116" s="72" t="str">
        <f>BUNDESLIGA!I353&amp;IF(OR(BUNDESLIGA!G353="",BUNDESLIGA!H353=""),"",IF(BUNDESLIGA!G353&lt;BUNDESLIGA!H353,"",IF(BUNDESLIGA!G353&gt;BUNDESLIGA!H353,"","")))</f>
        <v>SC Paderborn 07</v>
      </c>
      <c r="N116" s="161" t="str">
        <f>IF(BUNDESLIGA!G353&lt;&gt;"",BUNDESLIGA!G353&amp;" - "&amp;BUNDESLIGA!H353,"")</f>
        <v/>
      </c>
      <c r="O116" s="162"/>
      <c r="Q116" s="60"/>
      <c r="R116" s="60"/>
    </row>
    <row r="117" spans="2:18" x14ac:dyDescent="0.25">
      <c r="B117" s="60"/>
      <c r="C117" s="60"/>
      <c r="G117" s="60"/>
      <c r="H117" s="60"/>
      <c r="L117" s="60"/>
      <c r="M117" s="60"/>
    </row>
  </sheetData>
  <sheetProtection algorithmName="SHA-512" hashValue="3iOLtIu6LCfsh6LxJI1RvKAW/u5O/066RRv9LHXsFw+2iQPBK0+k0OBEneJ95chkFmBxgTLuypJPAoFA9Z0p0g==" saltValue="zQaRbi/mN8H9DXCGnxKdvA==" spinCount="100000" sheet="1" objects="1" scenarios="1"/>
  <mergeCells count="343">
    <mergeCell ref="S79:T79"/>
    <mergeCell ref="S80:T80"/>
    <mergeCell ref="S81:T81"/>
    <mergeCell ref="S82:T82"/>
    <mergeCell ref="S83:T83"/>
    <mergeCell ref="N114:O114"/>
    <mergeCell ref="N115:O115"/>
    <mergeCell ref="N116:O116"/>
    <mergeCell ref="S64:T64"/>
    <mergeCell ref="S65:T65"/>
    <mergeCell ref="S66:T66"/>
    <mergeCell ref="S67:T67"/>
    <mergeCell ref="S68:T68"/>
    <mergeCell ref="S69:T69"/>
    <mergeCell ref="S70:T70"/>
    <mergeCell ref="S71:T71"/>
    <mergeCell ref="S72:T72"/>
    <mergeCell ref="S75:T75"/>
    <mergeCell ref="S76:T76"/>
    <mergeCell ref="S77:T77"/>
    <mergeCell ref="S78:T78"/>
    <mergeCell ref="N109:O109"/>
    <mergeCell ref="N110:O110"/>
    <mergeCell ref="N111:O111"/>
    <mergeCell ref="N88:O88"/>
    <mergeCell ref="N89:O89"/>
    <mergeCell ref="N112:O112"/>
    <mergeCell ref="N113:O113"/>
    <mergeCell ref="N102:O102"/>
    <mergeCell ref="N103:O103"/>
    <mergeCell ref="N104:O104"/>
    <mergeCell ref="N105:O105"/>
    <mergeCell ref="N108:O108"/>
    <mergeCell ref="N97:O97"/>
    <mergeCell ref="N98:O98"/>
    <mergeCell ref="N99:O99"/>
    <mergeCell ref="N100:O100"/>
    <mergeCell ref="N101:O101"/>
    <mergeCell ref="N79:O79"/>
    <mergeCell ref="N80:O80"/>
    <mergeCell ref="N81:O81"/>
    <mergeCell ref="N82:O82"/>
    <mergeCell ref="I113:J113"/>
    <mergeCell ref="I114:J114"/>
    <mergeCell ref="I115:J115"/>
    <mergeCell ref="I116:J116"/>
    <mergeCell ref="I83:J83"/>
    <mergeCell ref="I86:J86"/>
    <mergeCell ref="I87:J87"/>
    <mergeCell ref="I88:J88"/>
    <mergeCell ref="L96:O96"/>
    <mergeCell ref="L107:O107"/>
    <mergeCell ref="L85:O85"/>
    <mergeCell ref="G107:J107"/>
    <mergeCell ref="N90:O90"/>
    <mergeCell ref="N91:O91"/>
    <mergeCell ref="N92:O92"/>
    <mergeCell ref="N93:O93"/>
    <mergeCell ref="N94:O94"/>
    <mergeCell ref="N83:O83"/>
    <mergeCell ref="N86:O86"/>
    <mergeCell ref="N87:O87"/>
    <mergeCell ref="N66:O66"/>
    <mergeCell ref="N67:O67"/>
    <mergeCell ref="N68:O68"/>
    <mergeCell ref="N69:O69"/>
    <mergeCell ref="N70:O70"/>
    <mergeCell ref="N71:O71"/>
    <mergeCell ref="N72:O72"/>
    <mergeCell ref="N78:O78"/>
    <mergeCell ref="N75:O75"/>
    <mergeCell ref="N76:O76"/>
    <mergeCell ref="N77:O77"/>
    <mergeCell ref="I108:J108"/>
    <mergeCell ref="I109:J109"/>
    <mergeCell ref="I110:J110"/>
    <mergeCell ref="I111:J111"/>
    <mergeCell ref="I112:J112"/>
    <mergeCell ref="I101:J101"/>
    <mergeCell ref="I102:J102"/>
    <mergeCell ref="I103:J103"/>
    <mergeCell ref="I104:J104"/>
    <mergeCell ref="I105:J105"/>
    <mergeCell ref="I94:J94"/>
    <mergeCell ref="I97:J97"/>
    <mergeCell ref="I98:J98"/>
    <mergeCell ref="I99:J99"/>
    <mergeCell ref="I100:J100"/>
    <mergeCell ref="I89:J89"/>
    <mergeCell ref="I90:J90"/>
    <mergeCell ref="I91:J91"/>
    <mergeCell ref="I92:J92"/>
    <mergeCell ref="I93:J93"/>
    <mergeCell ref="D90:E90"/>
    <mergeCell ref="I77:J77"/>
    <mergeCell ref="I78:J78"/>
    <mergeCell ref="I79:J79"/>
    <mergeCell ref="I80:J80"/>
    <mergeCell ref="I81:J81"/>
    <mergeCell ref="I70:J70"/>
    <mergeCell ref="I71:J71"/>
    <mergeCell ref="I72:J72"/>
    <mergeCell ref="I75:J75"/>
    <mergeCell ref="I76:J76"/>
    <mergeCell ref="D116:E116"/>
    <mergeCell ref="D105:E105"/>
    <mergeCell ref="D108:E108"/>
    <mergeCell ref="D109:E109"/>
    <mergeCell ref="D110:E110"/>
    <mergeCell ref="D111:E111"/>
    <mergeCell ref="D100:E100"/>
    <mergeCell ref="D101:E101"/>
    <mergeCell ref="D102:E102"/>
    <mergeCell ref="D103:E103"/>
    <mergeCell ref="D104:E104"/>
    <mergeCell ref="B107:E107"/>
    <mergeCell ref="D112:E112"/>
    <mergeCell ref="D113:E113"/>
    <mergeCell ref="D114:E114"/>
    <mergeCell ref="D115:E115"/>
    <mergeCell ref="I57:J57"/>
    <mergeCell ref="I58:J58"/>
    <mergeCell ref="I56:J56"/>
    <mergeCell ref="S6:T6"/>
    <mergeCell ref="S7:T7"/>
    <mergeCell ref="S8:T8"/>
    <mergeCell ref="S9:T9"/>
    <mergeCell ref="S10:T10"/>
    <mergeCell ref="S11:T11"/>
    <mergeCell ref="S12:T12"/>
    <mergeCell ref="S13:T13"/>
    <mergeCell ref="S14:T14"/>
    <mergeCell ref="S22:T22"/>
    <mergeCell ref="S23:T23"/>
    <mergeCell ref="S24:T24"/>
    <mergeCell ref="S25:T25"/>
    <mergeCell ref="S17:T17"/>
    <mergeCell ref="S18:T18"/>
    <mergeCell ref="S19:T19"/>
    <mergeCell ref="S20:T20"/>
    <mergeCell ref="S21:T21"/>
    <mergeCell ref="N54:O54"/>
    <mergeCell ref="N55:O55"/>
    <mergeCell ref="N56:O56"/>
    <mergeCell ref="N9:O9"/>
    <mergeCell ref="N10:O10"/>
    <mergeCell ref="N11:O11"/>
    <mergeCell ref="N12:O12"/>
    <mergeCell ref="N13:O13"/>
    <mergeCell ref="N14:O14"/>
    <mergeCell ref="N45:O45"/>
    <mergeCell ref="N46:O46"/>
    <mergeCell ref="N22:O22"/>
    <mergeCell ref="N23:O23"/>
    <mergeCell ref="N24:O24"/>
    <mergeCell ref="N25:O25"/>
    <mergeCell ref="N28:O28"/>
    <mergeCell ref="N42:O42"/>
    <mergeCell ref="N43:O43"/>
    <mergeCell ref="N44:O44"/>
    <mergeCell ref="I40:J40"/>
    <mergeCell ref="I41:J41"/>
    <mergeCell ref="I42:J42"/>
    <mergeCell ref="I43:J43"/>
    <mergeCell ref="I44:J44"/>
    <mergeCell ref="I33:J33"/>
    <mergeCell ref="I34:J34"/>
    <mergeCell ref="I35:J35"/>
    <mergeCell ref="I36:J36"/>
    <mergeCell ref="I39:J39"/>
    <mergeCell ref="I52:J52"/>
    <mergeCell ref="I53:J53"/>
    <mergeCell ref="I54:J54"/>
    <mergeCell ref="I55:J55"/>
    <mergeCell ref="I45:J45"/>
    <mergeCell ref="I46:J46"/>
    <mergeCell ref="I47:J47"/>
    <mergeCell ref="I50:J50"/>
    <mergeCell ref="I51:J51"/>
    <mergeCell ref="D55:E55"/>
    <mergeCell ref="D56:E56"/>
    <mergeCell ref="D57:E57"/>
    <mergeCell ref="D58:E58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7:J17"/>
    <mergeCell ref="I18:J18"/>
    <mergeCell ref="I19:J19"/>
    <mergeCell ref="D50:E50"/>
    <mergeCell ref="D51:E51"/>
    <mergeCell ref="D52:E52"/>
    <mergeCell ref="D53:E53"/>
    <mergeCell ref="D54:E54"/>
    <mergeCell ref="D43:E43"/>
    <mergeCell ref="D44:E44"/>
    <mergeCell ref="D45:E45"/>
    <mergeCell ref="D46:E46"/>
    <mergeCell ref="D47:E47"/>
    <mergeCell ref="D36:E36"/>
    <mergeCell ref="D39:E39"/>
    <mergeCell ref="D40:E40"/>
    <mergeCell ref="D41:E41"/>
    <mergeCell ref="D42:E42"/>
    <mergeCell ref="D31:E31"/>
    <mergeCell ref="D32:E32"/>
    <mergeCell ref="D33:E33"/>
    <mergeCell ref="D34:E34"/>
    <mergeCell ref="D35:E35"/>
    <mergeCell ref="D10:E10"/>
    <mergeCell ref="D11:E11"/>
    <mergeCell ref="D24:E24"/>
    <mergeCell ref="D25:E25"/>
    <mergeCell ref="D28:E28"/>
    <mergeCell ref="D29:E29"/>
    <mergeCell ref="D30:E30"/>
    <mergeCell ref="D19:E19"/>
    <mergeCell ref="D20:E20"/>
    <mergeCell ref="D21:E21"/>
    <mergeCell ref="D22:E22"/>
    <mergeCell ref="D23:E23"/>
    <mergeCell ref="D91:E91"/>
    <mergeCell ref="D92:E92"/>
    <mergeCell ref="D93:E93"/>
    <mergeCell ref="D94:E94"/>
    <mergeCell ref="D97:E97"/>
    <mergeCell ref="D98:E98"/>
    <mergeCell ref="D99:E99"/>
    <mergeCell ref="G74:J74"/>
    <mergeCell ref="G85:J85"/>
    <mergeCell ref="G96:J96"/>
    <mergeCell ref="D80:E80"/>
    <mergeCell ref="D81:E81"/>
    <mergeCell ref="D82:E82"/>
    <mergeCell ref="D83:E83"/>
    <mergeCell ref="D86:E86"/>
    <mergeCell ref="D75:E75"/>
    <mergeCell ref="D76:E76"/>
    <mergeCell ref="D77:E77"/>
    <mergeCell ref="D78:E78"/>
    <mergeCell ref="D79:E79"/>
    <mergeCell ref="B96:E96"/>
    <mergeCell ref="D87:E87"/>
    <mergeCell ref="D88:E88"/>
    <mergeCell ref="D89:E89"/>
    <mergeCell ref="B63:E63"/>
    <mergeCell ref="B74:E74"/>
    <mergeCell ref="B85:E85"/>
    <mergeCell ref="G63:J63"/>
    <mergeCell ref="D65:E65"/>
    <mergeCell ref="D66:E66"/>
    <mergeCell ref="D67:E67"/>
    <mergeCell ref="D68:E68"/>
    <mergeCell ref="D69:E69"/>
    <mergeCell ref="D70:E70"/>
    <mergeCell ref="D71:E71"/>
    <mergeCell ref="D72:E72"/>
    <mergeCell ref="D64:E64"/>
    <mergeCell ref="I64:J64"/>
    <mergeCell ref="I65:J65"/>
    <mergeCell ref="I66:J66"/>
    <mergeCell ref="I67:J67"/>
    <mergeCell ref="I68:J68"/>
    <mergeCell ref="I69:J69"/>
    <mergeCell ref="I82:J82"/>
    <mergeCell ref="Q74:T74"/>
    <mergeCell ref="L74:O74"/>
    <mergeCell ref="L63:O63"/>
    <mergeCell ref="Q63:T63"/>
    <mergeCell ref="N29:O29"/>
    <mergeCell ref="N30:O30"/>
    <mergeCell ref="N31:O31"/>
    <mergeCell ref="N32:O32"/>
    <mergeCell ref="N33:O33"/>
    <mergeCell ref="N34:O34"/>
    <mergeCell ref="N35:O35"/>
    <mergeCell ref="N36:O36"/>
    <mergeCell ref="N39:O39"/>
    <mergeCell ref="N40:O40"/>
    <mergeCell ref="N41:O41"/>
    <mergeCell ref="N57:O57"/>
    <mergeCell ref="N58:O58"/>
    <mergeCell ref="N47:O47"/>
    <mergeCell ref="N50:O50"/>
    <mergeCell ref="N51:O51"/>
    <mergeCell ref="N52:O52"/>
    <mergeCell ref="N53:O53"/>
    <mergeCell ref="N64:O64"/>
    <mergeCell ref="N65:O65"/>
    <mergeCell ref="Q5:T5"/>
    <mergeCell ref="G16:J16"/>
    <mergeCell ref="L16:O16"/>
    <mergeCell ref="Q16:T16"/>
    <mergeCell ref="Q38:T38"/>
    <mergeCell ref="I20:J20"/>
    <mergeCell ref="I21:J21"/>
    <mergeCell ref="I22:J22"/>
    <mergeCell ref="I23:J23"/>
    <mergeCell ref="I24:J24"/>
    <mergeCell ref="I25:J25"/>
    <mergeCell ref="I28:J28"/>
    <mergeCell ref="I29:J29"/>
    <mergeCell ref="I30:J30"/>
    <mergeCell ref="I31:J31"/>
    <mergeCell ref="I32:J32"/>
    <mergeCell ref="N17:O17"/>
    <mergeCell ref="N18:O18"/>
    <mergeCell ref="N19:O19"/>
    <mergeCell ref="N20:O20"/>
    <mergeCell ref="N21:O21"/>
    <mergeCell ref="N6:O6"/>
    <mergeCell ref="N7:O7"/>
    <mergeCell ref="N8:O8"/>
    <mergeCell ref="H2:L2"/>
    <mergeCell ref="H60:L60"/>
    <mergeCell ref="B27:E27"/>
    <mergeCell ref="B38:E38"/>
    <mergeCell ref="B5:E5"/>
    <mergeCell ref="B16:E16"/>
    <mergeCell ref="B49:E49"/>
    <mergeCell ref="G27:J27"/>
    <mergeCell ref="L27:O27"/>
    <mergeCell ref="G38:J38"/>
    <mergeCell ref="L38:O38"/>
    <mergeCell ref="G49:J49"/>
    <mergeCell ref="L49:O49"/>
    <mergeCell ref="G5:J5"/>
    <mergeCell ref="L5:O5"/>
    <mergeCell ref="D6:E6"/>
    <mergeCell ref="D12:E12"/>
    <mergeCell ref="D13:E13"/>
    <mergeCell ref="D14:E14"/>
    <mergeCell ref="D17:E17"/>
    <mergeCell ref="D18:E18"/>
    <mergeCell ref="D7:E7"/>
    <mergeCell ref="D8:E8"/>
    <mergeCell ref="D9:E9"/>
  </mergeCells>
  <pageMargins left="0.7" right="0.7" top="0.75" bottom="0.75" header="0.3" footer="0.3"/>
  <pageSetup paperSize="9" scale="5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C000"/>
    <pageSetUpPr fitToPage="1"/>
  </sheetPr>
  <dimension ref="C3:U21"/>
  <sheetViews>
    <sheetView showGridLines="0" showRowColHeaders="0" zoomScale="120" zoomScaleNormal="120" workbookViewId="0">
      <selection activeCell="G15" sqref="G15"/>
    </sheetView>
  </sheetViews>
  <sheetFormatPr baseColWidth="10" defaultColWidth="11.42578125" defaultRowHeight="15.75" x14ac:dyDescent="0.25"/>
  <cols>
    <col min="1" max="1" width="11.42578125" style="76"/>
    <col min="2" max="2" width="18" style="76" customWidth="1"/>
    <col min="3" max="3" width="25.7109375" style="76" customWidth="1"/>
    <col min="4" max="21" width="7.140625" style="76" customWidth="1"/>
    <col min="22" max="16384" width="11.42578125" style="76"/>
  </cols>
  <sheetData>
    <row r="3" spans="3:21" ht="135" customHeight="1" x14ac:dyDescent="0.25">
      <c r="C3" s="74" t="s">
        <v>163</v>
      </c>
      <c r="D3" s="75" t="s">
        <v>161</v>
      </c>
      <c r="E3" s="75" t="s">
        <v>162</v>
      </c>
      <c r="F3" s="75" t="s">
        <v>90</v>
      </c>
      <c r="G3" s="75" t="s">
        <v>86</v>
      </c>
      <c r="H3" s="75" t="s">
        <v>83</v>
      </c>
      <c r="I3" s="75" t="s">
        <v>79</v>
      </c>
      <c r="J3" s="75" t="s">
        <v>82</v>
      </c>
      <c r="K3" s="75" t="s">
        <v>80</v>
      </c>
      <c r="L3" s="75" t="s">
        <v>84</v>
      </c>
      <c r="M3" s="75" t="s">
        <v>92</v>
      </c>
      <c r="N3" s="75" t="s">
        <v>93</v>
      </c>
      <c r="O3" s="75" t="s">
        <v>89</v>
      </c>
      <c r="P3" s="75" t="s">
        <v>88</v>
      </c>
      <c r="Q3" s="75" t="s">
        <v>81</v>
      </c>
      <c r="R3" s="75" t="s">
        <v>91</v>
      </c>
      <c r="S3" s="75" t="s">
        <v>148</v>
      </c>
      <c r="T3" s="75" t="s">
        <v>85</v>
      </c>
      <c r="U3" s="75" t="s">
        <v>87</v>
      </c>
    </row>
    <row r="4" spans="3:21" x14ac:dyDescent="0.25">
      <c r="C4" s="59" t="s">
        <v>161</v>
      </c>
      <c r="D4" s="77" t="str">
        <f>IFERROR(VLOOKUP($C4&amp;D$3,BUNDESLIGA!$S:$T,2,0),"")</f>
        <v/>
      </c>
      <c r="E4" s="59" t="str">
        <f>IFERROR(VLOOKUP($C4&amp;E$3,BUNDESLIGA!$S:$T,2,0),"")</f>
        <v/>
      </c>
      <c r="F4" s="59" t="str">
        <f>IFERROR(VLOOKUP($C4&amp;F$3,BUNDESLIGA!$S:$T,2,0),"")</f>
        <v/>
      </c>
      <c r="G4" s="59" t="str">
        <f>IFERROR(VLOOKUP($C4&amp;G$3,BUNDESLIGA!$S:$T,2,0),"")</f>
        <v>1-2</v>
      </c>
      <c r="H4" s="59" t="str">
        <f>IFERROR(VLOOKUP($C4&amp;H$3,BUNDESLIGA!$S:$T,2,0),"")</f>
        <v>2-0</v>
      </c>
      <c r="I4" s="59" t="str">
        <f>IFERROR(VLOOKUP($C4&amp;I$3,BUNDESLIGA!$S:$T,2,0),"")</f>
        <v>1-4</v>
      </c>
      <c r="J4" s="59" t="str">
        <f>IFERROR(VLOOKUP($C4&amp;J$3,BUNDESLIGA!$S:$T,2,0),"")</f>
        <v>0-1</v>
      </c>
      <c r="K4" s="59" t="str">
        <f>IFERROR(VLOOKUP($C4&amp;K$3,BUNDESLIGA!$S:$T,2,0),"")</f>
        <v>1-3</v>
      </c>
      <c r="L4" s="59" t="str">
        <f>IFERROR(VLOOKUP($C4&amp;L$3,BUNDESLIGA!$S:$T,2,0),"")</f>
        <v/>
      </c>
      <c r="M4" s="59" t="str">
        <f>IFERROR(VLOOKUP($C4&amp;M$3,BUNDESLIGA!$S:$T,2,0),"")</f>
        <v>1-1</v>
      </c>
      <c r="N4" s="59" t="str">
        <f>IFERROR(VLOOKUP($C4&amp;N$3,BUNDESLIGA!$S:$T,2,0),"")</f>
        <v>3-0</v>
      </c>
      <c r="O4" s="59" t="str">
        <f>IFERROR(VLOOKUP($C4&amp;O$3,BUNDESLIGA!$S:$T,2,0),"")</f>
        <v/>
      </c>
      <c r="P4" s="59" t="str">
        <f>IFERROR(VLOOKUP($C4&amp;P$3,BUNDESLIGA!$S:$T,2,0),"")</f>
        <v>0-4</v>
      </c>
      <c r="Q4" s="59" t="str">
        <f>IFERROR(VLOOKUP($C4&amp;Q$3,BUNDESLIGA!$S:$T,2,0),"")</f>
        <v/>
      </c>
      <c r="R4" s="59" t="str">
        <f>IFERROR(VLOOKUP($C4&amp;R$3,BUNDESLIGA!$S:$T,2,0),"")</f>
        <v>4-0</v>
      </c>
      <c r="S4" s="59" t="str">
        <f>IFERROR(VLOOKUP($C4&amp;S$3,BUNDESLIGA!$S:$T,2,0),"")</f>
        <v>3-0</v>
      </c>
      <c r="T4" s="59" t="str">
        <f>IFERROR(VLOOKUP($C4&amp;T$3,BUNDESLIGA!$S:$T,2,0),"")</f>
        <v>3-1</v>
      </c>
      <c r="U4" s="59" t="str">
        <f>IFERROR(VLOOKUP($C4&amp;U$3,BUNDESLIGA!$S:$T,2,0),"")</f>
        <v>1-0</v>
      </c>
    </row>
    <row r="5" spans="3:21" x14ac:dyDescent="0.25">
      <c r="C5" s="59" t="s">
        <v>162</v>
      </c>
      <c r="D5" s="59" t="str">
        <f>IFERROR(VLOOKUP($C5&amp;D$3,BUNDESLIGA!$S:$T,2,0),"")</f>
        <v>2-0</v>
      </c>
      <c r="E5" s="77" t="str">
        <f>IFERROR(VLOOKUP($C5&amp;E$3,BUNDESLIGA!$S:$T,2,0),"")</f>
        <v/>
      </c>
      <c r="F5" s="59" t="str">
        <f>IFERROR(VLOOKUP($C5&amp;F$3,BUNDESLIGA!$S:$T,2,0),"")</f>
        <v/>
      </c>
      <c r="G5" s="59" t="str">
        <f>IFERROR(VLOOKUP($C5&amp;G$3,BUNDESLIGA!$S:$T,2,0),"")</f>
        <v>0-2</v>
      </c>
      <c r="H5" s="59" t="str">
        <f>IFERROR(VLOOKUP($C5&amp;H$3,BUNDESLIGA!$S:$T,2,0),"")</f>
        <v>2-3</v>
      </c>
      <c r="I5" s="59" t="str">
        <f>IFERROR(VLOOKUP($C5&amp;I$3,BUNDESLIGA!$S:$T,2,0),"")</f>
        <v/>
      </c>
      <c r="J5" s="59" t="str">
        <f>IFERROR(VLOOKUP($C5&amp;J$3,BUNDESLIGA!$S:$T,2,0),"")</f>
        <v>2-0</v>
      </c>
      <c r="K5" s="59" t="str">
        <f>IFERROR(VLOOKUP($C5&amp;K$3,BUNDESLIGA!$S:$T,2,0),"")</f>
        <v>3-1</v>
      </c>
      <c r="L5" s="59" t="str">
        <f>IFERROR(VLOOKUP($C5&amp;L$3,BUNDESLIGA!$S:$T,2,0),"")</f>
        <v>1-2</v>
      </c>
      <c r="M5" s="59" t="str">
        <f>IFERROR(VLOOKUP($C5&amp;M$3,BUNDESLIGA!$S:$T,2,0),"")</f>
        <v>2-0</v>
      </c>
      <c r="N5" s="59" t="str">
        <f>IFERROR(VLOOKUP($C5&amp;N$3,BUNDESLIGA!$S:$T,2,0),"")</f>
        <v/>
      </c>
      <c r="O5" s="59" t="str">
        <f>IFERROR(VLOOKUP($C5&amp;O$3,BUNDESLIGA!$S:$T,2,0),"")</f>
        <v/>
      </c>
      <c r="P5" s="59" t="str">
        <f>IFERROR(VLOOKUP($C5&amp;P$3,BUNDESLIGA!$S:$T,2,0),"")</f>
        <v>1-0</v>
      </c>
      <c r="Q5" s="59" t="str">
        <f>IFERROR(VLOOKUP($C5&amp;Q$3,BUNDESLIGA!$S:$T,2,0),"")</f>
        <v>0-4</v>
      </c>
      <c r="R5" s="59" t="str">
        <f>IFERROR(VLOOKUP($C5&amp;R$3,BUNDESLIGA!$S:$T,2,0),"")</f>
        <v>2-0</v>
      </c>
      <c r="S5" s="59" t="str">
        <f>IFERROR(VLOOKUP($C5&amp;S$3,BUNDESLIGA!$S:$T,2,0),"")</f>
        <v/>
      </c>
      <c r="T5" s="59" t="str">
        <f>IFERROR(VLOOKUP($C5&amp;T$3,BUNDESLIGA!$S:$T,2,0),"")</f>
        <v>2-2</v>
      </c>
      <c r="U5" s="59" t="str">
        <f>IFERROR(VLOOKUP($C5&amp;U$3,BUNDESLIGA!$S:$T,2,0),"")</f>
        <v>1-2</v>
      </c>
    </row>
    <row r="6" spans="3:21" x14ac:dyDescent="0.25">
      <c r="C6" s="59" t="s">
        <v>90</v>
      </c>
      <c r="D6" s="59" t="str">
        <f>IFERROR(VLOOKUP($C6&amp;D$3,BUNDESLIGA!$S:$T,2,0),"")</f>
        <v>3-1</v>
      </c>
      <c r="E6" s="59" t="str">
        <f>IFERROR(VLOOKUP($C6&amp;E$3,BUNDESLIGA!$S:$T,2,0),"")</f>
        <v>2-3</v>
      </c>
      <c r="F6" s="77" t="str">
        <f>IFERROR(VLOOKUP($C6&amp;F$3,BUNDESLIGA!$S:$T,2,0),"")</f>
        <v/>
      </c>
      <c r="G6" s="59" t="str">
        <f>IFERROR(VLOOKUP($C6&amp;G$3,BUNDESLIGA!$S:$T,2,0),"")</f>
        <v/>
      </c>
      <c r="H6" s="59" t="str">
        <f>IFERROR(VLOOKUP($C6&amp;H$3,BUNDESLIGA!$S:$T,2,0),"")</f>
        <v>0-1</v>
      </c>
      <c r="I6" s="59" t="str">
        <f>IFERROR(VLOOKUP($C6&amp;I$3,BUNDESLIGA!$S:$T,2,0),"")</f>
        <v>1-3</v>
      </c>
      <c r="J6" s="59" t="str">
        <f>IFERROR(VLOOKUP($C6&amp;J$3,BUNDESLIGA!$S:$T,2,0),"")</f>
        <v>1-3</v>
      </c>
      <c r="K6" s="59" t="str">
        <f>IFERROR(VLOOKUP($C6&amp;K$3,BUNDESLIGA!$S:$T,2,0),"")</f>
        <v>0-4</v>
      </c>
      <c r="L6" s="59" t="str">
        <f>IFERROR(VLOOKUP($C6&amp;L$3,BUNDESLIGA!$S:$T,2,0),"")</f>
        <v>2-1</v>
      </c>
      <c r="M6" s="59" t="str">
        <f>IFERROR(VLOOKUP($C6&amp;M$3,BUNDESLIGA!$S:$T,2,0),"")</f>
        <v/>
      </c>
      <c r="N6" s="59" t="str">
        <f>IFERROR(VLOOKUP($C6&amp;N$3,BUNDESLIGA!$S:$T,2,0),"")</f>
        <v>0-0</v>
      </c>
      <c r="O6" s="59" t="str">
        <f>IFERROR(VLOOKUP($C6&amp;O$3,BUNDESLIGA!$S:$T,2,0),"")</f>
        <v/>
      </c>
      <c r="P6" s="59" t="str">
        <f>IFERROR(VLOOKUP($C6&amp;P$3,BUNDESLIGA!$S:$T,2,0),"")</f>
        <v>2-1</v>
      </c>
      <c r="Q6" s="59" t="str">
        <f>IFERROR(VLOOKUP($C6&amp;Q$3,BUNDESLIGA!$S:$T,2,0),"")</f>
        <v/>
      </c>
      <c r="R6" s="59" t="str">
        <f>IFERROR(VLOOKUP($C6&amp;R$3,BUNDESLIGA!$S:$T,2,0),"")</f>
        <v>1-2</v>
      </c>
      <c r="S6" s="59" t="str">
        <f>IFERROR(VLOOKUP($C6&amp;S$3,BUNDESLIGA!$S:$T,2,0),"")</f>
        <v>2-0</v>
      </c>
      <c r="T6" s="59" t="str">
        <f>IFERROR(VLOOKUP($C6&amp;T$3,BUNDESLIGA!$S:$T,2,0),"")</f>
        <v>0-1</v>
      </c>
      <c r="U6" s="59" t="str">
        <f>IFERROR(VLOOKUP($C6&amp;U$3,BUNDESLIGA!$S:$T,2,0),"")</f>
        <v/>
      </c>
    </row>
    <row r="7" spans="3:21" x14ac:dyDescent="0.25">
      <c r="C7" s="59" t="s">
        <v>86</v>
      </c>
      <c r="D7" s="59" t="str">
        <f>IFERROR(VLOOKUP($C7&amp;D$3,BUNDESLIGA!$S:$T,2,0),"")</f>
        <v/>
      </c>
      <c r="E7" s="59" t="str">
        <f>IFERROR(VLOOKUP($C7&amp;E$3,BUNDESLIGA!$S:$T,2,0),"")</f>
        <v/>
      </c>
      <c r="F7" s="59" t="str">
        <f>IFERROR(VLOOKUP($C7&amp;F$3,BUNDESLIGA!$S:$T,2,0),"")</f>
        <v>1-5</v>
      </c>
      <c r="G7" s="77" t="str">
        <f>IFERROR(VLOOKUP($C7&amp;G$3,BUNDESLIGA!$S:$T,2,0),"")</f>
        <v/>
      </c>
      <c r="H7" s="59" t="str">
        <f>IFERROR(VLOOKUP($C7&amp;H$3,BUNDESLIGA!$S:$T,2,0),"")</f>
        <v>2-1</v>
      </c>
      <c r="I7" s="59" t="str">
        <f>IFERROR(VLOOKUP($C7&amp;I$3,BUNDESLIGA!$S:$T,2,0),"")</f>
        <v>0-6</v>
      </c>
      <c r="J7" s="59" t="str">
        <f>IFERROR(VLOOKUP($C7&amp;J$3,BUNDESLIGA!$S:$T,2,0),"")</f>
        <v>0-3</v>
      </c>
      <c r="K7" s="59" t="str">
        <f>IFERROR(VLOOKUP($C7&amp;K$3,BUNDESLIGA!$S:$T,2,0),"")</f>
        <v>2-1</v>
      </c>
      <c r="L7" s="59" t="str">
        <f>IFERROR(VLOOKUP($C7&amp;L$3,BUNDESLIGA!$S:$T,2,0),"")</f>
        <v>1-2</v>
      </c>
      <c r="M7" s="59" t="str">
        <f>IFERROR(VLOOKUP($C7&amp;M$3,BUNDESLIGA!$S:$T,2,0),"")</f>
        <v>2-4</v>
      </c>
      <c r="N7" s="59" t="str">
        <f>IFERROR(VLOOKUP($C7&amp;N$3,BUNDESLIGA!$S:$T,2,0),"")</f>
        <v>2-0</v>
      </c>
      <c r="O7" s="59" t="str">
        <f>IFERROR(VLOOKUP($C7&amp;O$3,BUNDESLIGA!$S:$T,2,0),"")</f>
        <v>1-1</v>
      </c>
      <c r="P7" s="59" t="str">
        <f>IFERROR(VLOOKUP($C7&amp;P$3,BUNDESLIGA!$S:$T,2,0),"")</f>
        <v/>
      </c>
      <c r="Q7" s="59" t="str">
        <f>IFERROR(VLOOKUP($C7&amp;Q$3,BUNDESLIGA!$S:$T,2,0),"")</f>
        <v/>
      </c>
      <c r="R7" s="59" t="str">
        <f>IFERROR(VLOOKUP($C7&amp;R$3,BUNDESLIGA!$S:$T,2,0),"")</f>
        <v>0-3</v>
      </c>
      <c r="S7" s="59" t="str">
        <f>IFERROR(VLOOKUP($C7&amp;S$3,BUNDESLIGA!$S:$T,2,0),"")</f>
        <v>3-0</v>
      </c>
      <c r="T7" s="59" t="str">
        <f>IFERROR(VLOOKUP($C7&amp;T$3,BUNDESLIGA!$S:$T,2,0),"")</f>
        <v>2-3</v>
      </c>
      <c r="U7" s="59" t="str">
        <f>IFERROR(VLOOKUP($C7&amp;U$3,BUNDESLIGA!$S:$T,2,0),"")</f>
        <v>3-2</v>
      </c>
    </row>
    <row r="8" spans="3:21" x14ac:dyDescent="0.25">
      <c r="C8" s="59" t="s">
        <v>83</v>
      </c>
      <c r="D8" s="59" t="str">
        <f>IFERROR(VLOOKUP($C8&amp;D$3,BUNDESLIGA!$S:$T,2,0),"")</f>
        <v/>
      </c>
      <c r="E8" s="59" t="str">
        <f>IFERROR(VLOOKUP($C8&amp;E$3,BUNDESLIGA!$S:$T,2,0),"")</f>
        <v>2-0</v>
      </c>
      <c r="F8" s="59" t="str">
        <f>IFERROR(VLOOKUP($C8&amp;F$3,BUNDESLIGA!$S:$T,2,0),"")</f>
        <v/>
      </c>
      <c r="G8" s="59" t="str">
        <f>IFERROR(VLOOKUP($C8&amp;G$3,BUNDESLIGA!$S:$T,2,0),"")</f>
        <v>0-0</v>
      </c>
      <c r="H8" s="77" t="str">
        <f>IFERROR(VLOOKUP($C8&amp;H$3,BUNDESLIGA!$S:$T,2,0),"")</f>
        <v/>
      </c>
      <c r="I8" s="59" t="str">
        <f>IFERROR(VLOOKUP($C8&amp;I$3,BUNDESLIGA!$S:$T,2,0),"")</f>
        <v/>
      </c>
      <c r="J8" s="59" t="str">
        <f>IFERROR(VLOOKUP($C8&amp;J$3,BUNDESLIGA!$S:$T,2,0),"")</f>
        <v>1-2</v>
      </c>
      <c r="K8" s="59" t="str">
        <f>IFERROR(VLOOKUP($C8&amp;K$3,BUNDESLIGA!$S:$T,2,0),"")</f>
        <v>4-3</v>
      </c>
      <c r="L8" s="59" t="str">
        <f>IFERROR(VLOOKUP($C8&amp;L$3,BUNDESLIGA!$S:$T,2,0),"")</f>
        <v/>
      </c>
      <c r="M8" s="59" t="str">
        <f>IFERROR(VLOOKUP($C8&amp;M$3,BUNDESLIGA!$S:$T,2,0),"")</f>
        <v>2-0</v>
      </c>
      <c r="N8" s="59" t="str">
        <f>IFERROR(VLOOKUP($C8&amp;N$3,BUNDESLIGA!$S:$T,2,0),"")</f>
        <v>2-1</v>
      </c>
      <c r="O8" s="59" t="str">
        <f>IFERROR(VLOOKUP($C8&amp;O$3,BUNDESLIGA!$S:$T,2,0),"")</f>
        <v>3-0</v>
      </c>
      <c r="P8" s="59" t="str">
        <f>IFERROR(VLOOKUP($C8&amp;P$3,BUNDESLIGA!$S:$T,2,0),"")</f>
        <v>0-1</v>
      </c>
      <c r="Q8" s="59" t="str">
        <f>IFERROR(VLOOKUP($C8&amp;Q$3,BUNDESLIGA!$S:$T,2,0),"")</f>
        <v>1-1</v>
      </c>
      <c r="R8" s="59" t="str">
        <f>IFERROR(VLOOKUP($C8&amp;R$3,BUNDESLIGA!$S:$T,2,0),"")</f>
        <v>1-1</v>
      </c>
      <c r="S8" s="59" t="str">
        <f>IFERROR(VLOOKUP($C8&amp;S$3,BUNDESLIGA!$S:$T,2,0),"")</f>
        <v>3-2</v>
      </c>
      <c r="T8" s="59" t="str">
        <f>IFERROR(VLOOKUP($C8&amp;T$3,BUNDESLIGA!$S:$T,2,0),"")</f>
        <v/>
      </c>
      <c r="U8" s="59" t="str">
        <f>IFERROR(VLOOKUP($C8&amp;U$3,BUNDESLIGA!$S:$T,2,0),"")</f>
        <v>2-2</v>
      </c>
    </row>
    <row r="9" spans="3:21" x14ac:dyDescent="0.25">
      <c r="C9" s="59" t="s">
        <v>79</v>
      </c>
      <c r="D9" s="59" t="str">
        <f>IFERROR(VLOOKUP($C9&amp;D$3,BUNDESLIGA!$S:$T,2,0),"")</f>
        <v>4-0</v>
      </c>
      <c r="E9" s="59" t="str">
        <f>IFERROR(VLOOKUP($C9&amp;E$3,BUNDESLIGA!$S:$T,2,0),"")</f>
        <v>2-1</v>
      </c>
      <c r="F9" s="59" t="str">
        <f>IFERROR(VLOOKUP($C9&amp;F$3,BUNDESLIGA!$S:$T,2,0),"")</f>
        <v>6-1</v>
      </c>
      <c r="G9" s="59" t="str">
        <f>IFERROR(VLOOKUP($C9&amp;G$3,BUNDESLIGA!$S:$T,2,0),"")</f>
        <v>1-2</v>
      </c>
      <c r="H9" s="59" t="str">
        <f>IFERROR(VLOOKUP($C9&amp;H$3,BUNDESLIGA!$S:$T,2,0),"")</f>
        <v>1-2</v>
      </c>
      <c r="I9" s="77" t="str">
        <f>IFERROR(VLOOKUP($C9&amp;I$3,BUNDESLIGA!$S:$T,2,0),"")</f>
        <v/>
      </c>
      <c r="J9" s="59" t="str">
        <f>IFERROR(VLOOKUP($C9&amp;J$3,BUNDESLIGA!$S:$T,2,0),"")</f>
        <v/>
      </c>
      <c r="K9" s="59" t="str">
        <f>IFERROR(VLOOKUP($C9&amp;K$3,BUNDESLIGA!$S:$T,2,0),"")</f>
        <v>4-0</v>
      </c>
      <c r="L9" s="59" t="str">
        <f>IFERROR(VLOOKUP($C9&amp;L$3,BUNDESLIGA!$S:$T,2,0),"")</f>
        <v/>
      </c>
      <c r="M9" s="59" t="str">
        <f>IFERROR(VLOOKUP($C9&amp;M$3,BUNDESLIGA!$S:$T,2,0),"")</f>
        <v/>
      </c>
      <c r="N9" s="59" t="str">
        <f>IFERROR(VLOOKUP($C9&amp;N$3,BUNDESLIGA!$S:$T,2,0),"")</f>
        <v>5-0</v>
      </c>
      <c r="O9" s="59" t="str">
        <f>IFERROR(VLOOKUP($C9&amp;O$3,BUNDESLIGA!$S:$T,2,0),"")</f>
        <v/>
      </c>
      <c r="P9" s="59" t="str">
        <f>IFERROR(VLOOKUP($C9&amp;P$3,BUNDESLIGA!$S:$T,2,0),"")</f>
        <v>2-2</v>
      </c>
      <c r="Q9" s="59" t="str">
        <f>IFERROR(VLOOKUP($C9&amp;Q$3,BUNDESLIGA!$S:$T,2,0),"")</f>
        <v>0-0</v>
      </c>
      <c r="R9" s="59" t="str">
        <f>IFERROR(VLOOKUP($C9&amp;R$3,BUNDESLIGA!$S:$T,2,0),"")</f>
        <v/>
      </c>
      <c r="S9" s="59" t="str">
        <f>IFERROR(VLOOKUP($C9&amp;S$3,BUNDESLIGA!$S:$T,2,0),"")</f>
        <v>3-2</v>
      </c>
      <c r="T9" s="59" t="str">
        <f>IFERROR(VLOOKUP($C9&amp;T$3,BUNDESLIGA!$S:$T,2,0),"")</f>
        <v>2-0</v>
      </c>
      <c r="U9" s="59" t="str">
        <f>IFERROR(VLOOKUP($C9&amp;U$3,BUNDESLIGA!$S:$T,2,0),"")</f>
        <v>6-1</v>
      </c>
    </row>
    <row r="10" spans="3:21" x14ac:dyDescent="0.25">
      <c r="C10" s="59" t="s">
        <v>82</v>
      </c>
      <c r="D10" s="59" t="str">
        <f>IFERROR(VLOOKUP($C10&amp;D$3,BUNDESLIGA!$S:$T,2,0),"")</f>
        <v/>
      </c>
      <c r="E10" s="59" t="str">
        <f>IFERROR(VLOOKUP($C10&amp;E$3,BUNDESLIGA!$S:$T,2,0),"")</f>
        <v/>
      </c>
      <c r="F10" s="59" t="str">
        <f>IFERROR(VLOOKUP($C10&amp;F$3,BUNDESLIGA!$S:$T,2,0),"")</f>
        <v>3-1</v>
      </c>
      <c r="G10" s="59" t="str">
        <f>IFERROR(VLOOKUP($C10&amp;G$3,BUNDESLIGA!$S:$T,2,0),"")</f>
        <v>1-1</v>
      </c>
      <c r="H10" s="59" t="str">
        <f>IFERROR(VLOOKUP($C10&amp;H$3,BUNDESLIGA!$S:$T,2,0),"")</f>
        <v/>
      </c>
      <c r="I10" s="59" t="str">
        <f>IFERROR(VLOOKUP($C10&amp;I$3,BUNDESLIGA!$S:$T,2,0),"")</f>
        <v>2-1</v>
      </c>
      <c r="J10" s="77" t="str">
        <f>IFERROR(VLOOKUP($C10&amp;J$3,BUNDESLIGA!$S:$T,2,0),"")</f>
        <v/>
      </c>
      <c r="K10" s="59" t="str">
        <f>IFERROR(VLOOKUP($C10&amp;K$3,BUNDESLIGA!$S:$T,2,0),"")</f>
        <v/>
      </c>
      <c r="L10" s="59" t="str">
        <f>IFERROR(VLOOKUP($C10&amp;L$3,BUNDESLIGA!$S:$T,2,0),"")</f>
        <v>4-2</v>
      </c>
      <c r="M10" s="59" t="str">
        <f>IFERROR(VLOOKUP($C10&amp;M$3,BUNDESLIGA!$S:$T,2,0),"")</f>
        <v>5-1</v>
      </c>
      <c r="N10" s="59" t="str">
        <f>IFERROR(VLOOKUP($C10&amp;N$3,BUNDESLIGA!$S:$T,2,0),"")</f>
        <v>0-0</v>
      </c>
      <c r="O10" s="59" t="str">
        <f>IFERROR(VLOOKUP($C10&amp;O$3,BUNDESLIGA!$S:$T,2,0),"")</f>
        <v>2-1</v>
      </c>
      <c r="P10" s="59" t="str">
        <f>IFERROR(VLOOKUP($C10&amp;P$3,BUNDESLIGA!$S:$T,2,0),"")</f>
        <v/>
      </c>
      <c r="Q10" s="59" t="str">
        <f>IFERROR(VLOOKUP($C10&amp;Q$3,BUNDESLIGA!$S:$T,2,0),"")</f>
        <v>1-3</v>
      </c>
      <c r="R10" s="59" t="str">
        <f>IFERROR(VLOOKUP($C10&amp;R$3,BUNDESLIGA!$S:$T,2,0),"")</f>
        <v>4-2</v>
      </c>
      <c r="S10" s="59" t="str">
        <f>IFERROR(VLOOKUP($C10&amp;S$3,BUNDESLIGA!$S:$T,2,0),"")</f>
        <v>2-0</v>
      </c>
      <c r="T10" s="59" t="str">
        <f>IFERROR(VLOOKUP($C10&amp;T$3,BUNDESLIGA!$S:$T,2,0),"")</f>
        <v/>
      </c>
      <c r="U10" s="59" t="str">
        <f>IFERROR(VLOOKUP($C10&amp;U$3,BUNDESLIGA!$S:$T,2,0),"")</f>
        <v>3-1</v>
      </c>
    </row>
    <row r="11" spans="3:21" x14ac:dyDescent="0.25">
      <c r="C11" s="59" t="s">
        <v>80</v>
      </c>
      <c r="D11" s="59" t="str">
        <f>IFERROR(VLOOKUP($C11&amp;D$3,BUNDESLIGA!$S:$T,2,0),"")</f>
        <v>5-1</v>
      </c>
      <c r="E11" s="59" t="str">
        <f>IFERROR(VLOOKUP($C11&amp;E$3,BUNDESLIGA!$S:$T,2,0),"")</f>
        <v>5-0</v>
      </c>
      <c r="F11" s="59" t="str">
        <f>IFERROR(VLOOKUP($C11&amp;F$3,BUNDESLIGA!$S:$T,2,0),"")</f>
        <v/>
      </c>
      <c r="G11" s="59" t="str">
        <f>IFERROR(VLOOKUP($C11&amp;G$3,BUNDESLIGA!$S:$T,2,0),"")</f>
        <v/>
      </c>
      <c r="H11" s="59" t="str">
        <f>IFERROR(VLOOKUP($C11&amp;H$3,BUNDESLIGA!$S:$T,2,0),"")</f>
        <v>4-0</v>
      </c>
      <c r="I11" s="59" t="str">
        <f>IFERROR(VLOOKUP($C11&amp;I$3,BUNDESLIGA!$S:$T,2,0),"")</f>
        <v/>
      </c>
      <c r="J11" s="59" t="str">
        <f>IFERROR(VLOOKUP($C11&amp;J$3,BUNDESLIGA!$S:$T,2,0),"")</f>
        <v>1-0</v>
      </c>
      <c r="K11" s="77" t="str">
        <f>IFERROR(VLOOKUP($C11&amp;K$3,BUNDESLIGA!$S:$T,2,0),"")</f>
        <v/>
      </c>
      <c r="L11" s="59" t="str">
        <f>IFERROR(VLOOKUP($C11&amp;L$3,BUNDESLIGA!$S:$T,2,0),"")</f>
        <v>4-0</v>
      </c>
      <c r="M11" s="59" t="str">
        <f>IFERROR(VLOOKUP($C11&amp;M$3,BUNDESLIGA!$S:$T,2,0),"")</f>
        <v>5-1</v>
      </c>
      <c r="N11" s="59" t="str">
        <f>IFERROR(VLOOKUP($C11&amp;N$3,BUNDESLIGA!$S:$T,2,0),"")</f>
        <v/>
      </c>
      <c r="O11" s="59" t="str">
        <f>IFERROR(VLOOKUP($C11&amp;O$3,BUNDESLIGA!$S:$T,2,0),"")</f>
        <v>5-0</v>
      </c>
      <c r="P11" s="59" t="str">
        <f>IFERROR(VLOOKUP($C11&amp;P$3,BUNDESLIGA!$S:$T,2,0),"")</f>
        <v/>
      </c>
      <c r="Q11" s="59" t="str">
        <f>IFERROR(VLOOKUP($C11&amp;Q$3,BUNDESLIGA!$S:$T,2,0),"")</f>
        <v>3-3</v>
      </c>
      <c r="R11" s="59" t="str">
        <f>IFERROR(VLOOKUP($C11&amp;R$3,BUNDESLIGA!$S:$T,2,0),"")</f>
        <v>1-0</v>
      </c>
      <c r="S11" s="59" t="str">
        <f>IFERROR(VLOOKUP($C11&amp;S$3,BUNDESLIGA!$S:$T,2,0),"")</f>
        <v>3-3</v>
      </c>
      <c r="T11" s="59" t="str">
        <f>IFERROR(VLOOKUP($C11&amp;T$3,BUNDESLIGA!$S:$T,2,0),"")</f>
        <v>3-0</v>
      </c>
      <c r="U11" s="59" t="str">
        <f>IFERROR(VLOOKUP($C11&amp;U$3,BUNDESLIGA!$S:$T,2,0),"")</f>
        <v>2-2</v>
      </c>
    </row>
    <row r="12" spans="3:21" x14ac:dyDescent="0.25">
      <c r="C12" s="59" t="s">
        <v>84</v>
      </c>
      <c r="D12" s="59" t="str">
        <f>IFERROR(VLOOKUP($C12&amp;D$3,BUNDESLIGA!$S:$T,2,0),"")</f>
        <v>2-4</v>
      </c>
      <c r="E12" s="59" t="str">
        <f>IFERROR(VLOOKUP($C12&amp;E$3,BUNDESLIGA!$S:$T,2,0),"")</f>
        <v>1-2</v>
      </c>
      <c r="F12" s="59" t="str">
        <f>IFERROR(VLOOKUP($C12&amp;F$3,BUNDESLIGA!$S:$T,2,0),"")</f>
        <v/>
      </c>
      <c r="G12" s="59" t="str">
        <f>IFERROR(VLOOKUP($C12&amp;G$3,BUNDESLIGA!$S:$T,2,0),"")</f>
        <v>1-0</v>
      </c>
      <c r="H12" s="59" t="str">
        <f>IFERROR(VLOOKUP($C12&amp;H$3,BUNDESLIGA!$S:$T,2,0),"")</f>
        <v>3-0</v>
      </c>
      <c r="I12" s="59" t="str">
        <f>IFERROR(VLOOKUP($C12&amp;I$3,BUNDESLIGA!$S:$T,2,0),"")</f>
        <v>5-1</v>
      </c>
      <c r="J12" s="59" t="str">
        <f>IFERROR(VLOOKUP($C12&amp;J$3,BUNDESLIGA!$S:$T,2,0),"")</f>
        <v/>
      </c>
      <c r="K12" s="59" t="str">
        <f>IFERROR(VLOOKUP($C12&amp;K$3,BUNDESLIGA!$S:$T,2,0),"")</f>
        <v>2-2</v>
      </c>
      <c r="L12" s="77" t="str">
        <f>IFERROR(VLOOKUP($C12&amp;L$3,BUNDESLIGA!$S:$T,2,0),"")</f>
        <v/>
      </c>
      <c r="M12" s="59" t="str">
        <f>IFERROR(VLOOKUP($C12&amp;M$3,BUNDESLIGA!$S:$T,2,0),"")</f>
        <v>5-0</v>
      </c>
      <c r="N12" s="59" t="str">
        <f>IFERROR(VLOOKUP($C12&amp;N$3,BUNDESLIGA!$S:$T,2,0),"")</f>
        <v/>
      </c>
      <c r="O12" s="59" t="str">
        <f>IFERROR(VLOOKUP($C12&amp;O$3,BUNDESLIGA!$S:$T,2,0),"")</f>
        <v>2-1</v>
      </c>
      <c r="P12" s="59" t="str">
        <f>IFERROR(VLOOKUP($C12&amp;P$3,BUNDESLIGA!$S:$T,2,0),"")</f>
        <v>2-2</v>
      </c>
      <c r="Q12" s="59" t="str">
        <f>IFERROR(VLOOKUP($C12&amp;Q$3,BUNDESLIGA!$S:$T,2,0),"")</f>
        <v>2-0</v>
      </c>
      <c r="R12" s="59" t="str">
        <f>IFERROR(VLOOKUP($C12&amp;R$3,BUNDESLIGA!$S:$T,2,0),"")</f>
        <v/>
      </c>
      <c r="S12" s="59" t="str">
        <f>IFERROR(VLOOKUP($C12&amp;S$3,BUNDESLIGA!$S:$T,2,0),"")</f>
        <v/>
      </c>
      <c r="T12" s="59" t="str">
        <f>IFERROR(VLOOKUP($C12&amp;T$3,BUNDESLIGA!$S:$T,2,0),"")</f>
        <v>0-2</v>
      </c>
      <c r="U12" s="59" t="str">
        <f>IFERROR(VLOOKUP($C12&amp;U$3,BUNDESLIGA!$S:$T,2,0),"")</f>
        <v>2-2</v>
      </c>
    </row>
    <row r="13" spans="3:21" x14ac:dyDescent="0.25">
      <c r="C13" s="59" t="s">
        <v>92</v>
      </c>
      <c r="D13" s="59" t="str">
        <f>IFERROR(VLOOKUP($C13&amp;D$3,BUNDESLIGA!$S:$T,2,0),"")</f>
        <v/>
      </c>
      <c r="E13" s="59" t="str">
        <f>IFERROR(VLOOKUP($C13&amp;E$3,BUNDESLIGA!$S:$T,2,0),"")</f>
        <v>1-1</v>
      </c>
      <c r="F13" s="59" t="str">
        <f>IFERROR(VLOOKUP($C13&amp;F$3,BUNDESLIGA!$S:$T,2,0),"")</f>
        <v>2-1</v>
      </c>
      <c r="G13" s="59" t="str">
        <f>IFERROR(VLOOKUP($C13&amp;G$3,BUNDESLIGA!$S:$T,2,0),"")</f>
        <v/>
      </c>
      <c r="H13" s="59" t="str">
        <f>IFERROR(VLOOKUP($C13&amp;H$3,BUNDESLIGA!$S:$T,2,0),"")</f>
        <v>0-3</v>
      </c>
      <c r="I13" s="59" t="str">
        <f>IFERROR(VLOOKUP($C13&amp;I$3,BUNDESLIGA!$S:$T,2,0),"")</f>
        <v>2-2</v>
      </c>
      <c r="J13" s="59" t="str">
        <f>IFERROR(VLOOKUP($C13&amp;J$3,BUNDESLIGA!$S:$T,2,0),"")</f>
        <v>2-3</v>
      </c>
      <c r="K13" s="59" t="str">
        <f>IFERROR(VLOOKUP($C13&amp;K$3,BUNDESLIGA!$S:$T,2,0),"")</f>
        <v>3-5</v>
      </c>
      <c r="L13" s="59" t="str">
        <f>IFERROR(VLOOKUP($C13&amp;L$3,BUNDESLIGA!$S:$T,2,0),"")</f>
        <v>2-1</v>
      </c>
      <c r="M13" s="77" t="str">
        <f>IFERROR(VLOOKUP($C13&amp;M$3,BUNDESLIGA!$S:$T,2,0),"")</f>
        <v/>
      </c>
      <c r="N13" s="59" t="str">
        <f>IFERROR(VLOOKUP($C13&amp;N$3,BUNDESLIGA!$S:$T,2,0),"")</f>
        <v>2-3</v>
      </c>
      <c r="O13" s="59" t="str">
        <f>IFERROR(VLOOKUP($C13&amp;O$3,BUNDESLIGA!$S:$T,2,0),"")</f>
        <v>3-0</v>
      </c>
      <c r="P13" s="59" t="str">
        <f>IFERROR(VLOOKUP($C13&amp;P$3,BUNDESLIGA!$S:$T,2,0),"")</f>
        <v>4-0</v>
      </c>
      <c r="Q13" s="59" t="str">
        <f>IFERROR(VLOOKUP($C13&amp;Q$3,BUNDESLIGA!$S:$T,2,0),"")</f>
        <v/>
      </c>
      <c r="R13" s="59" t="str">
        <f>IFERROR(VLOOKUP($C13&amp;R$3,BUNDESLIGA!$S:$T,2,0),"")</f>
        <v>1-1</v>
      </c>
      <c r="S13" s="59" t="str">
        <f>IFERROR(VLOOKUP($C13&amp;S$3,BUNDESLIGA!$S:$T,2,0),"")</f>
        <v/>
      </c>
      <c r="T13" s="59" t="str">
        <f>IFERROR(VLOOKUP($C13&amp;T$3,BUNDESLIGA!$S:$T,2,0),"")</f>
        <v/>
      </c>
      <c r="U13" s="59" t="str">
        <f>IFERROR(VLOOKUP($C13&amp;U$3,BUNDESLIGA!$S:$T,2,0),"")</f>
        <v>2-1</v>
      </c>
    </row>
    <row r="14" spans="3:21" x14ac:dyDescent="0.25">
      <c r="C14" s="59" t="s">
        <v>93</v>
      </c>
      <c r="D14" s="59" t="str">
        <f>IFERROR(VLOOKUP($C14&amp;D$3,BUNDESLIGA!$S:$T,2,0),"")</f>
        <v>1-1</v>
      </c>
      <c r="E14" s="59" t="str">
        <f>IFERROR(VLOOKUP($C14&amp;E$3,BUNDESLIGA!$S:$T,2,0),"")</f>
        <v>2-1</v>
      </c>
      <c r="F14" s="59" t="str">
        <f>IFERROR(VLOOKUP($C14&amp;F$3,BUNDESLIGA!$S:$T,2,0),"")</f>
        <v>2-1</v>
      </c>
      <c r="G14" s="59" t="str">
        <f>IFERROR(VLOOKUP($C14&amp;G$3,BUNDESLIGA!$S:$T,2,0),"")</f>
        <v/>
      </c>
      <c r="H14" s="59" t="str">
        <f>IFERROR(VLOOKUP($C14&amp;H$3,BUNDESLIGA!$S:$T,2,0),"")</f>
        <v/>
      </c>
      <c r="I14" s="59" t="str">
        <f>IFERROR(VLOOKUP($C14&amp;I$3,BUNDESLIGA!$S:$T,2,0),"")</f>
        <v>0-3</v>
      </c>
      <c r="J14" s="59" t="str">
        <f>IFERROR(VLOOKUP($C14&amp;J$3,BUNDESLIGA!$S:$T,2,0),"")</f>
        <v>2-0</v>
      </c>
      <c r="K14" s="59" t="str">
        <f>IFERROR(VLOOKUP($C14&amp;K$3,BUNDESLIGA!$S:$T,2,0),"")</f>
        <v>0-0</v>
      </c>
      <c r="L14" s="59" t="str">
        <f>IFERROR(VLOOKUP($C14&amp;L$3,BUNDESLIGA!$S:$T,2,0),"")</f>
        <v>1-0</v>
      </c>
      <c r="M14" s="59" t="str">
        <f>IFERROR(VLOOKUP($C14&amp;M$3,BUNDESLIGA!$S:$T,2,0),"")</f>
        <v/>
      </c>
      <c r="N14" s="77" t="str">
        <f>IFERROR(VLOOKUP($C14&amp;N$3,BUNDESLIGA!$S:$T,2,0),"")</f>
        <v/>
      </c>
      <c r="O14" s="59" t="str">
        <f>IFERROR(VLOOKUP($C14&amp;O$3,BUNDESLIGA!$S:$T,2,0),"")</f>
        <v>3-3</v>
      </c>
      <c r="P14" s="59" t="str">
        <f>IFERROR(VLOOKUP($C14&amp;P$3,BUNDESLIGA!$S:$T,2,0),"")</f>
        <v>3-0</v>
      </c>
      <c r="Q14" s="59" t="str">
        <f>IFERROR(VLOOKUP($C14&amp;Q$3,BUNDESLIGA!$S:$T,2,0),"")</f>
        <v>0-5</v>
      </c>
      <c r="R14" s="59" t="str">
        <f>IFERROR(VLOOKUP($C14&amp;R$3,BUNDESLIGA!$S:$T,2,0),"")</f>
        <v>2-2</v>
      </c>
      <c r="S14" s="59" t="str">
        <f>IFERROR(VLOOKUP($C14&amp;S$3,BUNDESLIGA!$S:$T,2,0),"")</f>
        <v>1-1</v>
      </c>
      <c r="T14" s="59" t="str">
        <f>IFERROR(VLOOKUP($C14&amp;T$3,BUNDESLIGA!$S:$T,2,0),"")</f>
        <v/>
      </c>
      <c r="U14" s="59" t="str">
        <f>IFERROR(VLOOKUP($C14&amp;U$3,BUNDESLIGA!$S:$T,2,0),"")</f>
        <v/>
      </c>
    </row>
    <row r="15" spans="3:21" x14ac:dyDescent="0.25">
      <c r="C15" s="59" t="s">
        <v>89</v>
      </c>
      <c r="D15" s="59" t="str">
        <f>IFERROR(VLOOKUP($C15&amp;D$3,BUNDESLIGA!$S:$T,2,0),"")</f>
        <v>2-0</v>
      </c>
      <c r="E15" s="59" t="str">
        <f>IFERROR(VLOOKUP($C15&amp;E$3,BUNDESLIGA!$S:$T,2,0),"")</f>
        <v>2-1</v>
      </c>
      <c r="F15" s="59" t="str">
        <f>IFERROR(VLOOKUP($C15&amp;F$3,BUNDESLIGA!$S:$T,2,0),"")</f>
        <v>1-0</v>
      </c>
      <c r="G15" s="59" t="str">
        <f>IFERROR(VLOOKUP($C15&amp;G$3,BUNDESLIGA!$S:$T,2,0),"")</f>
        <v/>
      </c>
      <c r="H15" s="59" t="str">
        <f>IFERROR(VLOOKUP($C15&amp;H$3,BUNDESLIGA!$S:$T,2,0),"")</f>
        <v>1-3</v>
      </c>
      <c r="I15" s="59" t="str">
        <f>IFERROR(VLOOKUP($C15&amp;I$3,BUNDESLIGA!$S:$T,2,0),"")</f>
        <v>0-4</v>
      </c>
      <c r="J15" s="59" t="str">
        <f>IFERROR(VLOOKUP($C15&amp;J$3,BUNDESLIGA!$S:$T,2,0),"")</f>
        <v>1-4</v>
      </c>
      <c r="K15" s="59" t="str">
        <f>IFERROR(VLOOKUP($C15&amp;K$3,BUNDESLIGA!$S:$T,2,0),"")</f>
        <v/>
      </c>
      <c r="L15" s="59" t="str">
        <f>IFERROR(VLOOKUP($C15&amp;L$3,BUNDESLIGA!$S:$T,2,0),"")</f>
        <v>1-1</v>
      </c>
      <c r="M15" s="59" t="str">
        <f>IFERROR(VLOOKUP($C15&amp;M$3,BUNDESLIGA!$S:$T,2,0),"")</f>
        <v/>
      </c>
      <c r="N15" s="59" t="str">
        <f>IFERROR(VLOOKUP($C15&amp;N$3,BUNDESLIGA!$S:$T,2,0),"")</f>
        <v/>
      </c>
      <c r="O15" s="77" t="str">
        <f>IFERROR(VLOOKUP($C15&amp;O$3,BUNDESLIGA!$S:$T,2,0),"")</f>
        <v/>
      </c>
      <c r="P15" s="59" t="str">
        <f>IFERROR(VLOOKUP($C15&amp;P$3,BUNDESLIGA!$S:$T,2,0),"")</f>
        <v>3-3</v>
      </c>
      <c r="Q15" s="59" t="str">
        <f>IFERROR(VLOOKUP($C15&amp;Q$3,BUNDESLIGA!$S:$T,2,0),"")</f>
        <v>0-3</v>
      </c>
      <c r="R15" s="59" t="str">
        <f>IFERROR(VLOOKUP($C15&amp;R$3,BUNDESLIGA!$S:$T,2,0),"")</f>
        <v>1-2</v>
      </c>
      <c r="S15" s="59" t="str">
        <f>IFERROR(VLOOKUP($C15&amp;S$3,BUNDESLIGA!$S:$T,2,0),"")</f>
        <v/>
      </c>
      <c r="T15" s="59" t="str">
        <f>IFERROR(VLOOKUP($C15&amp;T$3,BUNDESLIGA!$S:$T,2,0),"")</f>
        <v>1-1</v>
      </c>
      <c r="U15" s="59" t="str">
        <f>IFERROR(VLOOKUP($C15&amp;U$3,BUNDESLIGA!$S:$T,2,0),"")</f>
        <v>0-1</v>
      </c>
    </row>
    <row r="16" spans="3:21" x14ac:dyDescent="0.25">
      <c r="C16" s="59" t="s">
        <v>88</v>
      </c>
      <c r="D16" s="59" t="str">
        <f>IFERROR(VLOOKUP($C16&amp;D$3,BUNDESLIGA!$S:$T,2,0),"")</f>
        <v>0-5</v>
      </c>
      <c r="E16" s="59" t="str">
        <f>IFERROR(VLOOKUP($C16&amp;E$3,BUNDESLIGA!$S:$T,2,0),"")</f>
        <v/>
      </c>
      <c r="F16" s="59" t="str">
        <f>IFERROR(VLOOKUP($C16&amp;F$3,BUNDESLIGA!$S:$T,2,0),"")</f>
        <v>1-3</v>
      </c>
      <c r="G16" s="59" t="str">
        <f>IFERROR(VLOOKUP($C16&amp;G$3,BUNDESLIGA!$S:$T,2,0),"")</f>
        <v>2-3</v>
      </c>
      <c r="H16" s="59" t="str">
        <f>IFERROR(VLOOKUP($C16&amp;H$3,BUNDESLIGA!$S:$T,2,0),"")</f>
        <v/>
      </c>
      <c r="I16" s="59" t="str">
        <f>IFERROR(VLOOKUP($C16&amp;I$3,BUNDESLIGA!$S:$T,2,0),"")</f>
        <v>0-4</v>
      </c>
      <c r="J16" s="59" t="str">
        <f>IFERROR(VLOOKUP($C16&amp;J$3,BUNDESLIGA!$S:$T,2,0),"")</f>
        <v>0-0</v>
      </c>
      <c r="K16" s="59" t="str">
        <f>IFERROR(VLOOKUP($C16&amp;K$3,BUNDESLIGA!$S:$T,2,0),"")</f>
        <v>1-2</v>
      </c>
      <c r="L16" s="59" t="str">
        <f>IFERROR(VLOOKUP($C16&amp;L$3,BUNDESLIGA!$S:$T,2,0),"")</f>
        <v/>
      </c>
      <c r="M16" s="59" t="str">
        <f>IFERROR(VLOOKUP($C16&amp;M$3,BUNDESLIGA!$S:$T,2,0),"")</f>
        <v/>
      </c>
      <c r="N16" s="59" t="str">
        <f>IFERROR(VLOOKUP($C16&amp;N$3,BUNDESLIGA!$S:$T,2,0),"")</f>
        <v>0-0</v>
      </c>
      <c r="O16" s="59" t="str">
        <f>IFERROR(VLOOKUP($C16&amp;O$3,BUNDESLIGA!$S:$T,2,0),"")</f>
        <v>3-1</v>
      </c>
      <c r="P16" s="77" t="str">
        <f>IFERROR(VLOOKUP($C16&amp;P$3,BUNDESLIGA!$S:$T,2,0),"")</f>
        <v/>
      </c>
      <c r="Q16" s="59" t="str">
        <f>IFERROR(VLOOKUP($C16&amp;Q$3,BUNDESLIGA!$S:$T,2,0),"")</f>
        <v>2-4</v>
      </c>
      <c r="R16" s="59" t="str">
        <f>IFERROR(VLOOKUP($C16&amp;R$3,BUNDESLIGA!$S:$T,2,0),"")</f>
        <v>1-0</v>
      </c>
      <c r="S16" s="59" t="str">
        <f>IFERROR(VLOOKUP($C16&amp;S$3,BUNDESLIGA!$S:$T,2,0),"")</f>
        <v>2-1</v>
      </c>
      <c r="T16" s="59" t="str">
        <f>IFERROR(VLOOKUP($C16&amp;T$3,BUNDESLIGA!$S:$T,2,0),"")</f>
        <v>0-3</v>
      </c>
      <c r="U16" s="59" t="str">
        <f>IFERROR(VLOOKUP($C16&amp;U$3,BUNDESLIGA!$S:$T,2,0),"")</f>
        <v/>
      </c>
    </row>
    <row r="17" spans="3:21" x14ac:dyDescent="0.25">
      <c r="C17" s="59" t="s">
        <v>81</v>
      </c>
      <c r="D17" s="59" t="str">
        <f>IFERROR(VLOOKUP($C17&amp;D$3,BUNDESLIGA!$S:$T,2,0),"")</f>
        <v>4-1</v>
      </c>
      <c r="E17" s="59" t="str">
        <f>IFERROR(VLOOKUP($C17&amp;E$3,BUNDESLIGA!$S:$T,2,0),"")</f>
        <v>3-1</v>
      </c>
      <c r="F17" s="59" t="str">
        <f>IFERROR(VLOOKUP($C17&amp;F$3,BUNDESLIGA!$S:$T,2,0),"")</f>
        <v>8-0</v>
      </c>
      <c r="G17" s="59" t="str">
        <f>IFERROR(VLOOKUP($C17&amp;G$3,BUNDESLIGA!$S:$T,2,0),"")</f>
        <v>3-1</v>
      </c>
      <c r="H17" s="59" t="str">
        <f>IFERROR(VLOOKUP($C17&amp;H$3,BUNDESLIGA!$S:$T,2,0),"")</f>
        <v>1-1</v>
      </c>
      <c r="I17" s="59" t="str">
        <f>IFERROR(VLOOKUP($C17&amp;I$3,BUNDESLIGA!$S:$T,2,0),"")</f>
        <v>1-1</v>
      </c>
      <c r="J17" s="59" t="str">
        <f>IFERROR(VLOOKUP($C17&amp;J$3,BUNDESLIGA!$S:$T,2,0),"")</f>
        <v>2-2</v>
      </c>
      <c r="K17" s="59" t="str">
        <f>IFERROR(VLOOKUP($C17&amp;K$3,BUNDESLIGA!$S:$T,2,0),"")</f>
        <v/>
      </c>
      <c r="L17" s="59" t="str">
        <f>IFERROR(VLOOKUP($C17&amp;L$3,BUNDESLIGA!$S:$T,2,0),"")</f>
        <v>2-1</v>
      </c>
      <c r="M17" s="59" t="str">
        <f>IFERROR(VLOOKUP($C17&amp;M$3,BUNDESLIGA!$S:$T,2,0),"")</f>
        <v>3-1</v>
      </c>
      <c r="N17" s="59" t="str">
        <f>IFERROR(VLOOKUP($C17&amp;N$3,BUNDESLIGA!$S:$T,2,0),"")</f>
        <v>1-3</v>
      </c>
      <c r="O17" s="59" t="str">
        <f>IFERROR(VLOOKUP($C17&amp;O$3,BUNDESLIGA!$S:$T,2,0),"")</f>
        <v/>
      </c>
      <c r="P17" s="59" t="str">
        <f>IFERROR(VLOOKUP($C17&amp;P$3,BUNDESLIGA!$S:$T,2,0),"")</f>
        <v/>
      </c>
      <c r="Q17" s="77" t="str">
        <f>IFERROR(VLOOKUP($C17&amp;Q$3,BUNDESLIGA!$S:$T,2,0),"")</f>
        <v/>
      </c>
      <c r="R17" s="59" t="str">
        <f>IFERROR(VLOOKUP($C17&amp;R$3,BUNDESLIGA!$S:$T,2,0),"")</f>
        <v/>
      </c>
      <c r="S17" s="59" t="str">
        <f>IFERROR(VLOOKUP($C17&amp;S$3,BUNDESLIGA!$S:$T,2,0),"")</f>
        <v/>
      </c>
      <c r="T17" s="59" t="str">
        <f>IFERROR(VLOOKUP($C17&amp;T$3,BUNDESLIGA!$S:$T,2,0),"")</f>
        <v>1-1</v>
      </c>
      <c r="U17" s="59" t="str">
        <f>IFERROR(VLOOKUP($C17&amp;U$3,BUNDESLIGA!$S:$T,2,0),"")</f>
        <v>3-0</v>
      </c>
    </row>
    <row r="18" spans="3:21" x14ac:dyDescent="0.25">
      <c r="C18" s="59" t="s">
        <v>91</v>
      </c>
      <c r="D18" s="59" t="str">
        <f>IFERROR(VLOOKUP($C18&amp;D$3,BUNDESLIGA!$S:$T,2,0),"")</f>
        <v>1-2</v>
      </c>
      <c r="E18" s="59" t="str">
        <f>IFERROR(VLOOKUP($C18&amp;E$3,BUNDESLIGA!$S:$T,2,0),"")</f>
        <v/>
      </c>
      <c r="F18" s="59" t="str">
        <f>IFERROR(VLOOKUP($C18&amp;F$3,BUNDESLIGA!$S:$T,2,0),"")</f>
        <v>3-0</v>
      </c>
      <c r="G18" s="59" t="str">
        <f>IFERROR(VLOOKUP($C18&amp;G$3,BUNDESLIGA!$S:$T,2,0),"")</f>
        <v>1-0</v>
      </c>
      <c r="H18" s="59" t="str">
        <f>IFERROR(VLOOKUP($C18&amp;H$3,BUNDESLIGA!$S:$T,2,0),"")</f>
        <v/>
      </c>
      <c r="I18" s="59" t="str">
        <f>IFERROR(VLOOKUP($C18&amp;I$3,BUNDESLIGA!$S:$T,2,0),"")</f>
        <v>1-3</v>
      </c>
      <c r="J18" s="59" t="str">
        <f>IFERROR(VLOOKUP($C18&amp;J$3,BUNDESLIGA!$S:$T,2,0),"")</f>
        <v/>
      </c>
      <c r="K18" s="59" t="str">
        <f>IFERROR(VLOOKUP($C18&amp;K$3,BUNDESLIGA!$S:$T,2,0),"")</f>
        <v>2-2</v>
      </c>
      <c r="L18" s="59" t="str">
        <f>IFERROR(VLOOKUP($C18&amp;L$3,BUNDESLIGA!$S:$T,2,0),"")</f>
        <v>1-0</v>
      </c>
      <c r="M18" s="59" t="str">
        <f>IFERROR(VLOOKUP($C18&amp;M$3,BUNDESLIGA!$S:$T,2,0),"")</f>
        <v>1-1</v>
      </c>
      <c r="N18" s="59" t="str">
        <f>IFERROR(VLOOKUP($C18&amp;N$3,BUNDESLIGA!$S:$T,2,0),"")</f>
        <v/>
      </c>
      <c r="O18" s="59" t="str">
        <f>IFERROR(VLOOKUP($C18&amp;O$3,BUNDESLIGA!$S:$T,2,0),"")</f>
        <v>0-2</v>
      </c>
      <c r="P18" s="59" t="str">
        <f>IFERROR(VLOOKUP($C18&amp;P$3,BUNDESLIGA!$S:$T,2,0),"")</f>
        <v/>
      </c>
      <c r="Q18" s="59" t="str">
        <f>IFERROR(VLOOKUP($C18&amp;Q$3,BUNDESLIGA!$S:$T,2,0),"")</f>
        <v>2-1</v>
      </c>
      <c r="R18" s="77" t="str">
        <f>IFERROR(VLOOKUP($C18&amp;R$3,BUNDESLIGA!$S:$T,2,0),"")</f>
        <v/>
      </c>
      <c r="S18" s="59" t="str">
        <f>IFERROR(VLOOKUP($C18&amp;S$3,BUNDESLIGA!$S:$T,2,0),"")</f>
        <v>0-2</v>
      </c>
      <c r="T18" s="59" t="str">
        <f>IFERROR(VLOOKUP($C18&amp;T$3,BUNDESLIGA!$S:$T,2,0),"")</f>
        <v>1-0</v>
      </c>
      <c r="U18" s="59" t="str">
        <f>IFERROR(VLOOKUP($C18&amp;U$3,BUNDESLIGA!$S:$T,2,0),"")</f>
        <v/>
      </c>
    </row>
    <row r="19" spans="3:21" x14ac:dyDescent="0.25">
      <c r="C19" s="59" t="s">
        <v>148</v>
      </c>
      <c r="D19" s="59" t="str">
        <f>IFERROR(VLOOKUP($C19&amp;D$3,BUNDESLIGA!$S:$T,2,0),"")</f>
        <v/>
      </c>
      <c r="E19" s="59" t="str">
        <f>IFERROR(VLOOKUP($C19&amp;E$3,BUNDESLIGA!$S:$T,2,0),"")</f>
        <v>1-1</v>
      </c>
      <c r="F19" s="59" t="str">
        <f>IFERROR(VLOOKUP($C19&amp;F$3,BUNDESLIGA!$S:$T,2,0),"")</f>
        <v>1-2</v>
      </c>
      <c r="G19" s="59" t="str">
        <f>IFERROR(VLOOKUP($C19&amp;G$3,BUNDESLIGA!$S:$T,2,0),"")</f>
        <v/>
      </c>
      <c r="H19" s="59" t="str">
        <f>IFERROR(VLOOKUP($C19&amp;H$3,BUNDESLIGA!$S:$T,2,0),"")</f>
        <v>1-4</v>
      </c>
      <c r="I19" s="59" t="str">
        <f>IFERROR(VLOOKUP($C19&amp;I$3,BUNDESLIGA!$S:$T,2,0),"")</f>
        <v>2-3</v>
      </c>
      <c r="J19" s="59" t="str">
        <f>IFERROR(VLOOKUP($C19&amp;J$3,BUNDESLIGA!$S:$T,2,0),"")</f>
        <v/>
      </c>
      <c r="K19" s="59" t="str">
        <f>IFERROR(VLOOKUP($C19&amp;K$3,BUNDESLIGA!$S:$T,2,0),"")</f>
        <v/>
      </c>
      <c r="L19" s="59" t="str">
        <f>IFERROR(VLOOKUP($C19&amp;L$3,BUNDESLIGA!$S:$T,2,0),"")</f>
        <v>2-1</v>
      </c>
      <c r="M19" s="59" t="str">
        <f>IFERROR(VLOOKUP($C19&amp;M$3,BUNDESLIGA!$S:$T,2,0),"")</f>
        <v>0-1</v>
      </c>
      <c r="N19" s="59" t="str">
        <f>IFERROR(VLOOKUP($C19&amp;N$3,BUNDESLIGA!$S:$T,2,0),"")</f>
        <v>1-5</v>
      </c>
      <c r="O19" s="59" t="str">
        <f>IFERROR(VLOOKUP($C19&amp;O$3,BUNDESLIGA!$S:$T,2,0),"")</f>
        <v>2-0</v>
      </c>
      <c r="P19" s="59" t="str">
        <f>IFERROR(VLOOKUP($C19&amp;P$3,BUNDESLIGA!$S:$T,2,0),"")</f>
        <v>1-2</v>
      </c>
      <c r="Q19" s="59" t="str">
        <f>IFERROR(VLOOKUP($C19&amp;Q$3,BUNDESLIGA!$S:$T,2,0),"")</f>
        <v>2-3</v>
      </c>
      <c r="R19" s="59" t="str">
        <f>IFERROR(VLOOKUP($C19&amp;R$3,BUNDESLIGA!$S:$T,2,0),"")</f>
        <v>1-3</v>
      </c>
      <c r="S19" s="77" t="str">
        <f>IFERROR(VLOOKUP($C19&amp;S$3,BUNDESLIGA!$S:$T,2,0),"")</f>
        <v/>
      </c>
      <c r="T19" s="59" t="str">
        <f>IFERROR(VLOOKUP($C19&amp;T$3,BUNDESLIGA!$S:$T,2,0),"")</f>
        <v>2-4</v>
      </c>
      <c r="U19" s="59" t="str">
        <f>IFERROR(VLOOKUP($C19&amp;U$3,BUNDESLIGA!$S:$T,2,0),"")</f>
        <v/>
      </c>
    </row>
    <row r="20" spans="3:21" x14ac:dyDescent="0.25">
      <c r="C20" s="59" t="s">
        <v>85</v>
      </c>
      <c r="D20" s="59" t="str">
        <f>IFERROR(VLOOKUP($C20&amp;D$3,BUNDESLIGA!$S:$T,2,0),"")</f>
        <v>2-1</v>
      </c>
      <c r="E20" s="59" t="str">
        <f>IFERROR(VLOOKUP($C20&amp;E$3,BUNDESLIGA!$S:$T,2,0),"")</f>
        <v>1-0</v>
      </c>
      <c r="F20" s="59" t="str">
        <f>IFERROR(VLOOKUP($C20&amp;F$3,BUNDESLIGA!$S:$T,2,0),"")</f>
        <v>4-0</v>
      </c>
      <c r="G20" s="59" t="str">
        <f>IFERROR(VLOOKUP($C20&amp;G$3,BUNDESLIGA!$S:$T,2,0),"")</f>
        <v>1-1</v>
      </c>
      <c r="H20" s="59" t="str">
        <f>IFERROR(VLOOKUP($C20&amp;H$3,BUNDESLIGA!$S:$T,2,0),"")</f>
        <v>0-2</v>
      </c>
      <c r="I20" s="59" t="str">
        <f>IFERROR(VLOOKUP($C20&amp;I$3,BUNDESLIGA!$S:$T,2,0),"")</f>
        <v/>
      </c>
      <c r="J20" s="59" t="str">
        <f>IFERROR(VLOOKUP($C20&amp;J$3,BUNDESLIGA!$S:$T,2,0),"")</f>
        <v>2-1</v>
      </c>
      <c r="K20" s="59" t="str">
        <f>IFERROR(VLOOKUP($C20&amp;K$3,BUNDESLIGA!$S:$T,2,0),"")</f>
        <v/>
      </c>
      <c r="L20" s="59" t="str">
        <f>IFERROR(VLOOKUP($C20&amp;L$3,BUNDESLIGA!$S:$T,2,0),"")</f>
        <v/>
      </c>
      <c r="M20" s="59" t="str">
        <f>IFERROR(VLOOKUP($C20&amp;M$3,BUNDESLIGA!$S:$T,2,0),"")</f>
        <v>0-0</v>
      </c>
      <c r="N20" s="59" t="str">
        <f>IFERROR(VLOOKUP($C20&amp;N$3,BUNDESLIGA!$S:$T,2,0),"")</f>
        <v>1-1</v>
      </c>
      <c r="O20" s="59" t="str">
        <f>IFERROR(VLOOKUP($C20&amp;O$3,BUNDESLIGA!$S:$T,2,0),"")</f>
        <v>1-1</v>
      </c>
      <c r="P20" s="59" t="str">
        <f>IFERROR(VLOOKUP($C20&amp;P$3,BUNDESLIGA!$S:$T,2,0),"")</f>
        <v>1-2</v>
      </c>
      <c r="Q20" s="59" t="str">
        <f>IFERROR(VLOOKUP($C20&amp;Q$3,BUNDESLIGA!$S:$T,2,0),"")</f>
        <v/>
      </c>
      <c r="R20" s="59" t="str">
        <f>IFERROR(VLOOKUP($C20&amp;R$3,BUNDESLIGA!$S:$T,2,0),"")</f>
        <v/>
      </c>
      <c r="S20" s="59" t="str">
        <f>IFERROR(VLOOKUP($C20&amp;S$3,BUNDESLIGA!$S:$T,2,0),"")</f>
        <v>1-1</v>
      </c>
      <c r="T20" s="77" t="str">
        <f>IFERROR(VLOOKUP($C20&amp;T$3,BUNDESLIGA!$S:$T,2,0),"")</f>
        <v/>
      </c>
      <c r="U20" s="59" t="str">
        <f>IFERROR(VLOOKUP($C20&amp;U$3,BUNDESLIGA!$S:$T,2,0),"")</f>
        <v>2-3</v>
      </c>
    </row>
    <row r="21" spans="3:21" x14ac:dyDescent="0.25">
      <c r="C21" s="59" t="s">
        <v>87</v>
      </c>
      <c r="D21" s="59" t="str">
        <f>IFERROR(VLOOKUP($C21&amp;D$3,BUNDESLIGA!$S:$T,2,0),"")</f>
        <v/>
      </c>
      <c r="E21" s="59" t="str">
        <f>IFERROR(VLOOKUP($C21&amp;E$3,BUNDESLIGA!$S:$T,2,0),"")</f>
        <v>0-2</v>
      </c>
      <c r="F21" s="59" t="str">
        <f>IFERROR(VLOOKUP($C21&amp;F$3,BUNDESLIGA!$S:$T,2,0),"")</f>
        <v>0-5</v>
      </c>
      <c r="G21" s="59" t="str">
        <f>IFERROR(VLOOKUP($C21&amp;G$3,BUNDESLIGA!$S:$T,2,0),"")</f>
        <v>0-3</v>
      </c>
      <c r="H21" s="59" t="str">
        <f>IFERROR(VLOOKUP($C21&amp;H$3,BUNDESLIGA!$S:$T,2,0),"")</f>
        <v/>
      </c>
      <c r="I21" s="59" t="str">
        <f>IFERROR(VLOOKUP($C21&amp;I$3,BUNDESLIGA!$S:$T,2,0),"")</f>
        <v/>
      </c>
      <c r="J21" s="59" t="str">
        <f>IFERROR(VLOOKUP($C21&amp;J$3,BUNDESLIGA!$S:$T,2,0),"")</f>
        <v/>
      </c>
      <c r="K21" s="59" t="str">
        <f>IFERROR(VLOOKUP($C21&amp;K$3,BUNDESLIGA!$S:$T,2,0),"")</f>
        <v>0-2</v>
      </c>
      <c r="L21" s="59" t="str">
        <f>IFERROR(VLOOKUP($C21&amp;L$3,BUNDESLIGA!$S:$T,2,0),"")</f>
        <v/>
      </c>
      <c r="M21" s="59" t="str">
        <f>IFERROR(VLOOKUP($C21&amp;M$3,BUNDESLIGA!$S:$T,2,0),"")</f>
        <v>3-2</v>
      </c>
      <c r="N21" s="59" t="str">
        <f>IFERROR(VLOOKUP($C21&amp;N$3,BUNDESLIGA!$S:$T,2,0),"")</f>
        <v>1-2</v>
      </c>
      <c r="O21" s="59" t="str">
        <f>IFERROR(VLOOKUP($C21&amp;O$3,BUNDESLIGA!$S:$T,2,0),"")</f>
        <v>1-3</v>
      </c>
      <c r="P21" s="59" t="str">
        <f>IFERROR(VLOOKUP($C21&amp;P$3,BUNDESLIGA!$S:$T,2,0),"")</f>
        <v>1-1</v>
      </c>
      <c r="Q21" s="59" t="str">
        <f>IFERROR(VLOOKUP($C21&amp;Q$3,BUNDESLIGA!$S:$T,2,0),"")</f>
        <v>0-3</v>
      </c>
      <c r="R21" s="59" t="str">
        <f>IFERROR(VLOOKUP($C21&amp;R$3,BUNDESLIGA!$S:$T,2,0),"")</f>
        <v>2-2</v>
      </c>
      <c r="S21" s="59" t="str">
        <f>IFERROR(VLOOKUP($C21&amp;S$3,BUNDESLIGA!$S:$T,2,0),"")</f>
        <v>0-1</v>
      </c>
      <c r="T21" s="59" t="str">
        <f>IFERROR(VLOOKUP($C21&amp;T$3,BUNDESLIGA!$S:$T,2,0),"")</f>
        <v/>
      </c>
      <c r="U21" s="77" t="str">
        <f>IFERROR(VLOOKUP($C21&amp;U$3,BUNDESLIGA!$S:$T,2,0),"")</f>
        <v/>
      </c>
    </row>
  </sheetData>
  <pageMargins left="0.59055118110236227" right="0.70866141732283472" top="1.4173228346456694" bottom="0.59055118110236227" header="0.31496062992125984" footer="0.31496062992125984"/>
  <pageSetup paperSize="9" scale="85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8" tint="-0.249977111117893"/>
  </sheetPr>
  <dimension ref="C6:AN32"/>
  <sheetViews>
    <sheetView showGridLines="0" showRowColHeaders="0" zoomScale="105" zoomScaleNormal="105" workbookViewId="0">
      <selection activeCell="AK35" sqref="AK35"/>
    </sheetView>
  </sheetViews>
  <sheetFormatPr baseColWidth="10" defaultColWidth="11.42578125" defaultRowHeight="15.75" x14ac:dyDescent="0.25"/>
  <cols>
    <col min="1" max="1" width="3.140625" style="23" customWidth="1"/>
    <col min="2" max="2" width="4.140625" style="23" customWidth="1"/>
    <col min="3" max="3" width="25.7109375" style="23" customWidth="1"/>
    <col min="4" max="37" width="5.85546875" style="23" customWidth="1"/>
    <col min="38" max="40" width="5.7109375" style="23" customWidth="1"/>
    <col min="41" max="16384" width="11.42578125" style="23"/>
  </cols>
  <sheetData>
    <row r="6" spans="3:40" x14ac:dyDescent="0.25">
      <c r="D6" s="59">
        <v>1</v>
      </c>
      <c r="E6" s="59">
        <v>2</v>
      </c>
      <c r="F6" s="59">
        <v>3</v>
      </c>
      <c r="G6" s="59">
        <v>4</v>
      </c>
      <c r="H6" s="59">
        <v>5</v>
      </c>
      <c r="I6" s="59">
        <v>6</v>
      </c>
      <c r="J6" s="59">
        <v>7</v>
      </c>
      <c r="K6" s="59">
        <v>8</v>
      </c>
      <c r="L6" s="59">
        <v>9</v>
      </c>
      <c r="M6" s="59">
        <v>10</v>
      </c>
      <c r="N6" s="59">
        <v>11</v>
      </c>
      <c r="O6" s="59">
        <v>12</v>
      </c>
      <c r="P6" s="59">
        <v>13</v>
      </c>
      <c r="Q6" s="59">
        <v>14</v>
      </c>
      <c r="R6" s="59">
        <v>15</v>
      </c>
      <c r="S6" s="59">
        <v>16</v>
      </c>
      <c r="T6" s="59">
        <v>17</v>
      </c>
      <c r="U6" s="59">
        <v>18</v>
      </c>
      <c r="V6" s="59">
        <v>19</v>
      </c>
      <c r="W6" s="59">
        <v>20</v>
      </c>
      <c r="X6" s="59">
        <v>21</v>
      </c>
      <c r="Y6" s="59">
        <v>22</v>
      </c>
      <c r="Z6" s="59">
        <v>23</v>
      </c>
      <c r="AA6" s="59">
        <v>24</v>
      </c>
      <c r="AB6" s="59">
        <v>25</v>
      </c>
      <c r="AC6" s="59">
        <v>26</v>
      </c>
      <c r="AD6" s="59">
        <v>27</v>
      </c>
      <c r="AE6" s="59">
        <v>28</v>
      </c>
      <c r="AF6" s="59">
        <v>29</v>
      </c>
      <c r="AG6" s="59">
        <v>30</v>
      </c>
      <c r="AH6" s="59">
        <v>31</v>
      </c>
      <c r="AI6" s="59">
        <v>32</v>
      </c>
      <c r="AJ6" s="59">
        <v>33</v>
      </c>
      <c r="AK6" s="59">
        <v>34</v>
      </c>
      <c r="AL6" s="78" t="s">
        <v>3</v>
      </c>
      <c r="AM6" s="79" t="s">
        <v>4</v>
      </c>
      <c r="AN6" s="80" t="s">
        <v>5</v>
      </c>
    </row>
    <row r="7" spans="3:40" x14ac:dyDescent="0.25">
      <c r="C7" s="86" t="s">
        <v>86</v>
      </c>
      <c r="D7" s="68" t="str">
        <f t="shared" ref="D7:AK7" ca="1" si="0">IFERROR(VLOOKUP($C7,INDIRECT("domicile_"&amp;D6),10,0),IFERROR(VLOOKUP($C7,INDIRECT("exterieur_"&amp;D$6),8,0),""))</f>
        <v>P</v>
      </c>
      <c r="E7" s="68" t="str">
        <f t="shared" ca="1" si="0"/>
        <v>G</v>
      </c>
      <c r="F7" s="68" t="str">
        <f t="shared" ca="1" si="0"/>
        <v>N</v>
      </c>
      <c r="G7" s="68" t="str">
        <f t="shared" ca="1" si="0"/>
        <v>P</v>
      </c>
      <c r="H7" s="68" t="str">
        <f t="shared" ca="1" si="0"/>
        <v>N</v>
      </c>
      <c r="I7" s="68" t="str">
        <f t="shared" ca="1" si="0"/>
        <v>P</v>
      </c>
      <c r="J7" s="68" t="str">
        <f t="shared" ca="1" si="0"/>
        <v>G</v>
      </c>
      <c r="K7" s="68" t="str">
        <f t="shared" ca="1" si="0"/>
        <v>G</v>
      </c>
      <c r="L7" s="68" t="str">
        <f t="shared" ca="1" si="0"/>
        <v>G</v>
      </c>
      <c r="M7" s="68" t="str">
        <f t="shared" ca="1" si="0"/>
        <v>G</v>
      </c>
      <c r="N7" s="68" t="str">
        <f t="shared" ca="1" si="0"/>
        <v>G</v>
      </c>
      <c r="O7" s="68" t="str">
        <f t="shared" ca="1" si="0"/>
        <v>P</v>
      </c>
      <c r="P7" s="68" t="str">
        <f t="shared" ca="1" si="0"/>
        <v>N</v>
      </c>
      <c r="Q7" s="68" t="str">
        <f t="shared" ca="1" si="0"/>
        <v>P</v>
      </c>
      <c r="R7" s="68" t="str">
        <f t="shared" ca="1" si="0"/>
        <v>P</v>
      </c>
      <c r="S7" s="68" t="str">
        <f t="shared" ca="1" si="0"/>
        <v>G</v>
      </c>
      <c r="T7" s="68" t="str">
        <f t="shared" ca="1" si="0"/>
        <v>G</v>
      </c>
      <c r="U7" s="68" t="str">
        <f t="shared" ca="1" si="0"/>
        <v>P</v>
      </c>
      <c r="V7" s="68" t="str">
        <f t="shared" ca="1" si="0"/>
        <v>G</v>
      </c>
      <c r="W7" s="68" t="str">
        <f t="shared" ca="1" si="0"/>
        <v>G</v>
      </c>
      <c r="X7" s="68" t="str">
        <f t="shared" ca="1" si="0"/>
        <v>P</v>
      </c>
      <c r="Y7" s="68" t="str">
        <f t="shared" ca="1" si="0"/>
        <v>P</v>
      </c>
      <c r="Z7" s="68" t="str">
        <f t="shared" ca="1" si="0"/>
        <v>N</v>
      </c>
      <c r="AA7" s="68" t="str">
        <f t="shared" ca="1" si="0"/>
        <v>P</v>
      </c>
      <c r="AB7" s="68" t="str">
        <f t="shared" ca="1" si="0"/>
        <v/>
      </c>
      <c r="AC7" s="68" t="str">
        <f t="shared" ca="1" si="0"/>
        <v/>
      </c>
      <c r="AD7" s="68" t="str">
        <f t="shared" ca="1" si="0"/>
        <v/>
      </c>
      <c r="AE7" s="68" t="str">
        <f t="shared" ca="1" si="0"/>
        <v/>
      </c>
      <c r="AF7" s="68" t="str">
        <f t="shared" ca="1" si="0"/>
        <v/>
      </c>
      <c r="AG7" s="68" t="str">
        <f t="shared" ca="1" si="0"/>
        <v/>
      </c>
      <c r="AH7" s="68" t="str">
        <f t="shared" ca="1" si="0"/>
        <v/>
      </c>
      <c r="AI7" s="68" t="str">
        <f t="shared" ca="1" si="0"/>
        <v/>
      </c>
      <c r="AJ7" s="68" t="str">
        <f t="shared" ca="1" si="0"/>
        <v/>
      </c>
      <c r="AK7" s="68" t="str">
        <f t="shared" ca="1" si="0"/>
        <v/>
      </c>
      <c r="AL7" s="136">
        <f ca="1">COUNTIF($D7:$AK7,"G")</f>
        <v>10</v>
      </c>
      <c r="AM7" s="136">
        <f ca="1">COUNTIF($D7:$AK7,"N")</f>
        <v>4</v>
      </c>
      <c r="AN7" s="136">
        <f ca="1">COUNTIF($D7:$AK7,"P")</f>
        <v>10</v>
      </c>
    </row>
    <row r="8" spans="3:40" x14ac:dyDescent="0.25">
      <c r="C8" s="98" t="s">
        <v>166</v>
      </c>
      <c r="D8" s="68">
        <f ca="1">IF($C7="","",VLOOKUP($C7,'EVOLUTION CLASS'!$B9:$AJ26,2,0))</f>
        <v>14</v>
      </c>
      <c r="E8" s="68">
        <f ca="1">IF($C7="","",VLOOKUP($C7,'EVOLUTION CLASS'!$B9:$AJ26,3,0))</f>
        <v>9</v>
      </c>
      <c r="F8" s="68">
        <f ca="1">IF($C7="","",VLOOKUP($C7,'EVOLUTION CLASS'!$B9:$AJ26,4,0))</f>
        <v>9</v>
      </c>
      <c r="G8" s="68">
        <f ca="1">IF($C7="","",VLOOKUP($C7,'EVOLUTION CLASS'!$B9:$AJ26,5,0))</f>
        <v>16</v>
      </c>
      <c r="H8" s="68">
        <f ca="1">IF($C7="","",VLOOKUP($C7,'EVOLUTION CLASS'!$B9:$AJ26,6,0))</f>
        <v>11</v>
      </c>
      <c r="I8" s="68">
        <f ca="1">IF($C7="","",VLOOKUP($C7,'EVOLUTION CLASS'!$B9:$AJ26,7,0))</f>
        <v>12</v>
      </c>
      <c r="J8" s="68">
        <f ca="1">IF($C7="","",VLOOKUP($C7,'EVOLUTION CLASS'!$B9:$AJ26,8,0))</f>
        <v>12</v>
      </c>
      <c r="K8" s="68">
        <f ca="1">IF($C7="","",VLOOKUP($C7,'EVOLUTION CLASS'!$B9:$AJ26,9,0))</f>
        <v>11</v>
      </c>
      <c r="L8" s="68">
        <f ca="1">IF($C7="","",VLOOKUP($C7,'EVOLUTION CLASS'!$B9:$AJ26,10,0))</f>
        <v>10</v>
      </c>
      <c r="M8" s="68">
        <f ca="1">IF($C7="","",VLOOKUP($C7,'EVOLUTION CLASS'!$B9:$AJ26,11,0))</f>
        <v>9</v>
      </c>
      <c r="N8" s="68">
        <f ca="1">IF($C7="","",VLOOKUP($C7,'EVOLUTION CLASS'!$B9:$AJ26,12,0))</f>
        <v>5</v>
      </c>
      <c r="O8" s="68">
        <f ca="1">IF($C7="","",VLOOKUP($C7,'EVOLUTION CLASS'!$B9:$AJ26,13,0))</f>
        <v>8</v>
      </c>
      <c r="P8" s="68">
        <f ca="1">IF($C7="","",VLOOKUP($C7,'EVOLUTION CLASS'!$B9:$AJ26,14,0))</f>
        <v>8</v>
      </c>
      <c r="Q8" s="68">
        <f ca="1">IF($C7="","",VLOOKUP($C7,'EVOLUTION CLASS'!$B9:$AJ26,15,0))</f>
        <v>8</v>
      </c>
      <c r="R8" s="68">
        <f ca="1">IF($C7="","",VLOOKUP($C7,'EVOLUTION CLASS'!$B9:$AJ26,16,0))</f>
        <v>9</v>
      </c>
      <c r="S8" s="68">
        <f ca="1">IF($C7="","",VLOOKUP($C7,'EVOLUTION CLASS'!$B9:$AJ26,17,0))</f>
        <v>9</v>
      </c>
      <c r="T8" s="68">
        <f ca="1">IF($C7="","",VLOOKUP($C7,'EVOLUTION CLASS'!$B9:$AJ26,18,0))</f>
        <v>7</v>
      </c>
      <c r="U8" s="68">
        <f ca="1">IF($C7="","",VLOOKUP($C7,'EVOLUTION CLASS'!$B9:$AJ26,19,0))</f>
        <v>8</v>
      </c>
      <c r="V8" s="68">
        <f ca="1">IF($C7="","",VLOOKUP($C7,'EVOLUTION CLASS'!$B9:$AJ26,20,0))</f>
        <v>7</v>
      </c>
      <c r="W8" s="68">
        <f ca="1">IF($C7="","",VLOOKUP($C7,'EVOLUTION CLASS'!$B9:$AJ26,21,0))</f>
        <v>7</v>
      </c>
      <c r="X8" s="68">
        <f ca="1">IF($C7="","",VLOOKUP($C7,'EVOLUTION CLASS'!$B9:$AJ26,22,0))</f>
        <v>7</v>
      </c>
      <c r="Y8" s="68">
        <f ca="1">IF($C7="","",VLOOKUP($C7,'EVOLUTION CLASS'!$B9:$AJ26,23,0))</f>
        <v>8</v>
      </c>
      <c r="Z8" s="68">
        <f ca="1">IF($C7="","",VLOOKUP($C7,'EVOLUTION CLASS'!$B9:$AJ26,24,0))</f>
        <v>8</v>
      </c>
      <c r="AA8" s="68">
        <f ca="1">IF($C7="","",VLOOKUP($C7,'EVOLUTION CLASS'!$B9:$AJ26,25,0))</f>
        <v>8</v>
      </c>
      <c r="AB8" s="68" t="str">
        <f ca="1">IF($C7="","",VLOOKUP($C7,'EVOLUTION CLASS'!$B9:$AJ26,26,0))</f>
        <v/>
      </c>
      <c r="AC8" s="68" t="str">
        <f ca="1">IF($C7="","",VLOOKUP($C7,'EVOLUTION CLASS'!$B9:$AJ26,27,0))</f>
        <v/>
      </c>
      <c r="AD8" s="68" t="str">
        <f ca="1">IF($C7="","",VLOOKUP($C7,'EVOLUTION CLASS'!$B9:$AJ26,28,0))</f>
        <v/>
      </c>
      <c r="AE8" s="68" t="str">
        <f ca="1">IF($C7="","",VLOOKUP($C7,'EVOLUTION CLASS'!$B9:$AJ26,29,0))</f>
        <v/>
      </c>
      <c r="AF8" s="68" t="str">
        <f ca="1">IF($C7="","",VLOOKUP($C7,'EVOLUTION CLASS'!$B9:$AJ26,30,0))</f>
        <v/>
      </c>
      <c r="AG8" s="68" t="str">
        <f ca="1">IF($C7="","",VLOOKUP($C7,'EVOLUTION CLASS'!$B9:$AJ26,31,0))</f>
        <v/>
      </c>
      <c r="AH8" s="68" t="str">
        <f ca="1">IF($C7="","",VLOOKUP($C7,'EVOLUTION CLASS'!$B9:$AJ26,32,0))</f>
        <v/>
      </c>
      <c r="AI8" s="68" t="str">
        <f ca="1">IF($C7="","",VLOOKUP($C7,'EVOLUTION CLASS'!$B9:$AJ26,33,0))</f>
        <v/>
      </c>
      <c r="AJ8" s="68" t="str">
        <f ca="1">IF($C7="","",VLOOKUP($C7,'EVOLUTION CLASS'!$B9:$AJ26,34,0))</f>
        <v/>
      </c>
      <c r="AK8" s="135" t="str">
        <f ca="1">IF($C7="","",VLOOKUP($C7,'EVOLUTION CLASS'!$B9:$AJ26,35,0))</f>
        <v/>
      </c>
      <c r="AL8" s="164" t="str">
        <f>VLOOKUP(C7,BUNDESLIGA!V685:W702,2,0)</f>
        <v>8</v>
      </c>
      <c r="AM8" s="165"/>
      <c r="AN8" s="166"/>
    </row>
    <row r="9" spans="3:40" x14ac:dyDescent="0.25">
      <c r="D9" s="76"/>
      <c r="E9" s="76"/>
      <c r="F9" s="76"/>
      <c r="G9" s="76"/>
      <c r="H9" s="76"/>
      <c r="I9" s="76"/>
      <c r="J9" s="76"/>
      <c r="K9" s="76"/>
      <c r="L9" s="76"/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  <c r="AG9" s="76"/>
      <c r="AH9" s="76"/>
      <c r="AI9" s="76"/>
      <c r="AJ9" s="76"/>
      <c r="AK9" s="76"/>
      <c r="AL9" s="67"/>
      <c r="AM9" s="67"/>
      <c r="AN9" s="67"/>
    </row>
    <row r="10" spans="3:40" x14ac:dyDescent="0.25">
      <c r="C10" s="61" t="s">
        <v>164</v>
      </c>
      <c r="D10" s="68" t="str">
        <f t="shared" ref="D10:AK10" ca="1" si="1">IFERROR(VLOOKUP($C7,INDIRECT("domicile_"&amp;D$6),10,0),"")</f>
        <v/>
      </c>
      <c r="E10" s="68" t="str">
        <f t="shared" ca="1" si="1"/>
        <v>G</v>
      </c>
      <c r="F10" s="68" t="str">
        <f t="shared" ca="1" si="1"/>
        <v/>
      </c>
      <c r="G10" s="68" t="str">
        <f t="shared" ca="1" si="1"/>
        <v>P</v>
      </c>
      <c r="H10" s="68" t="str">
        <f t="shared" ca="1" si="1"/>
        <v/>
      </c>
      <c r="I10" s="68" t="str">
        <f t="shared" ca="1" si="1"/>
        <v>P</v>
      </c>
      <c r="J10" s="68" t="str">
        <f t="shared" ca="1" si="1"/>
        <v/>
      </c>
      <c r="K10" s="68" t="str">
        <f t="shared" ca="1" si="1"/>
        <v>G</v>
      </c>
      <c r="L10" s="68" t="str">
        <f t="shared" ca="1" si="1"/>
        <v/>
      </c>
      <c r="M10" s="68" t="str">
        <f t="shared" ca="1" si="1"/>
        <v>G</v>
      </c>
      <c r="N10" s="68" t="str">
        <f t="shared" ca="1" si="1"/>
        <v/>
      </c>
      <c r="O10" s="68" t="str">
        <f t="shared" ca="1" si="1"/>
        <v>P</v>
      </c>
      <c r="P10" s="68" t="str">
        <f t="shared" ca="1" si="1"/>
        <v>N</v>
      </c>
      <c r="Q10" s="68" t="str">
        <f t="shared" ca="1" si="1"/>
        <v/>
      </c>
      <c r="R10" s="68" t="str">
        <f t="shared" ca="1" si="1"/>
        <v>P</v>
      </c>
      <c r="S10" s="68" t="str">
        <f t="shared" ca="1" si="1"/>
        <v/>
      </c>
      <c r="T10" s="68" t="str">
        <f t="shared" ca="1" si="1"/>
        <v>G</v>
      </c>
      <c r="U10" s="68" t="str">
        <f t="shared" ca="1" si="1"/>
        <v>P</v>
      </c>
      <c r="V10" s="68" t="str">
        <f t="shared" ca="1" si="1"/>
        <v/>
      </c>
      <c r="W10" s="68" t="str">
        <f t="shared" ca="1" si="1"/>
        <v>G</v>
      </c>
      <c r="X10" s="68" t="str">
        <f t="shared" ca="1" si="1"/>
        <v/>
      </c>
      <c r="Y10" s="68" t="str">
        <f t="shared" ca="1" si="1"/>
        <v>P</v>
      </c>
      <c r="Z10" s="68" t="str">
        <f t="shared" ca="1" si="1"/>
        <v/>
      </c>
      <c r="AA10" s="68" t="str">
        <f t="shared" ca="1" si="1"/>
        <v>P</v>
      </c>
      <c r="AB10" s="68" t="str">
        <f t="shared" ca="1" si="1"/>
        <v/>
      </c>
      <c r="AC10" s="68" t="str">
        <f t="shared" ca="1" si="1"/>
        <v/>
      </c>
      <c r="AD10" s="68" t="str">
        <f t="shared" ca="1" si="1"/>
        <v/>
      </c>
      <c r="AE10" s="68" t="str">
        <f t="shared" ca="1" si="1"/>
        <v/>
      </c>
      <c r="AF10" s="68" t="str">
        <f t="shared" ca="1" si="1"/>
        <v/>
      </c>
      <c r="AG10" s="68" t="str">
        <f t="shared" ca="1" si="1"/>
        <v/>
      </c>
      <c r="AH10" s="68" t="str">
        <f t="shared" ca="1" si="1"/>
        <v/>
      </c>
      <c r="AI10" s="68" t="str">
        <f t="shared" ca="1" si="1"/>
        <v/>
      </c>
      <c r="AJ10" s="68" t="str">
        <f t="shared" ca="1" si="1"/>
        <v/>
      </c>
      <c r="AK10" s="68" t="str">
        <f t="shared" ca="1" si="1"/>
        <v/>
      </c>
      <c r="AL10" s="68">
        <f ca="1">COUNTIF($D10:$AK10,"G")</f>
        <v>5</v>
      </c>
      <c r="AM10" s="68">
        <f ca="1">COUNTIF($D10:$AK10,"N")</f>
        <v>1</v>
      </c>
      <c r="AN10" s="68">
        <f ca="1">COUNTIF($D10:$AK10,"P")</f>
        <v>7</v>
      </c>
    </row>
    <row r="11" spans="3:40" x14ac:dyDescent="0.25">
      <c r="C11" s="61" t="s">
        <v>143</v>
      </c>
      <c r="D11" s="68" t="str">
        <f t="shared" ref="D11:AK11" ca="1" si="2">IFERROR(VLOOKUP($C7,INDIRECT("exterieur_"&amp;D$6),8,0),"")</f>
        <v>P</v>
      </c>
      <c r="E11" s="68" t="str">
        <f t="shared" ca="1" si="2"/>
        <v/>
      </c>
      <c r="F11" s="68" t="str">
        <f t="shared" ca="1" si="2"/>
        <v>N</v>
      </c>
      <c r="G11" s="68" t="str">
        <f t="shared" ca="1" si="2"/>
        <v/>
      </c>
      <c r="H11" s="68" t="str">
        <f t="shared" ca="1" si="2"/>
        <v>N</v>
      </c>
      <c r="I11" s="68" t="str">
        <f t="shared" ca="1" si="2"/>
        <v/>
      </c>
      <c r="J11" s="68" t="str">
        <f t="shared" ca="1" si="2"/>
        <v>G</v>
      </c>
      <c r="K11" s="68" t="str">
        <f t="shared" ca="1" si="2"/>
        <v/>
      </c>
      <c r="L11" s="68" t="str">
        <f t="shared" ca="1" si="2"/>
        <v>G</v>
      </c>
      <c r="M11" s="68" t="str">
        <f t="shared" ca="1" si="2"/>
        <v/>
      </c>
      <c r="N11" s="68" t="str">
        <f t="shared" ca="1" si="2"/>
        <v>G</v>
      </c>
      <c r="O11" s="68" t="str">
        <f t="shared" ca="1" si="2"/>
        <v/>
      </c>
      <c r="P11" s="68" t="str">
        <f t="shared" ca="1" si="2"/>
        <v/>
      </c>
      <c r="Q11" s="68" t="str">
        <f t="shared" ca="1" si="2"/>
        <v>P</v>
      </c>
      <c r="R11" s="68" t="str">
        <f t="shared" ca="1" si="2"/>
        <v/>
      </c>
      <c r="S11" s="68" t="str">
        <f t="shared" ca="1" si="2"/>
        <v>G</v>
      </c>
      <c r="T11" s="68" t="str">
        <f t="shared" ca="1" si="2"/>
        <v/>
      </c>
      <c r="U11" s="68" t="str">
        <f t="shared" ca="1" si="2"/>
        <v/>
      </c>
      <c r="V11" s="68" t="str">
        <f t="shared" ca="1" si="2"/>
        <v>G</v>
      </c>
      <c r="W11" s="68" t="str">
        <f t="shared" ca="1" si="2"/>
        <v/>
      </c>
      <c r="X11" s="68" t="str">
        <f t="shared" ca="1" si="2"/>
        <v>P</v>
      </c>
      <c r="Y11" s="68" t="str">
        <f t="shared" ca="1" si="2"/>
        <v/>
      </c>
      <c r="Z11" s="68" t="str">
        <f t="shared" ca="1" si="2"/>
        <v>N</v>
      </c>
      <c r="AA11" s="68" t="str">
        <f t="shared" ca="1" si="2"/>
        <v/>
      </c>
      <c r="AB11" s="68" t="str">
        <f t="shared" ca="1" si="2"/>
        <v/>
      </c>
      <c r="AC11" s="68" t="str">
        <f t="shared" ca="1" si="2"/>
        <v/>
      </c>
      <c r="AD11" s="68" t="str">
        <f t="shared" ca="1" si="2"/>
        <v/>
      </c>
      <c r="AE11" s="68" t="str">
        <f t="shared" ca="1" si="2"/>
        <v/>
      </c>
      <c r="AF11" s="68" t="str">
        <f t="shared" ca="1" si="2"/>
        <v/>
      </c>
      <c r="AG11" s="68" t="str">
        <f t="shared" ca="1" si="2"/>
        <v/>
      </c>
      <c r="AH11" s="68" t="str">
        <f t="shared" ca="1" si="2"/>
        <v/>
      </c>
      <c r="AI11" s="68" t="str">
        <f t="shared" ca="1" si="2"/>
        <v/>
      </c>
      <c r="AJ11" s="68" t="str">
        <f t="shared" ca="1" si="2"/>
        <v/>
      </c>
      <c r="AK11" s="68" t="str">
        <f t="shared" ca="1" si="2"/>
        <v/>
      </c>
      <c r="AL11" s="68">
        <f ca="1">COUNTIF($D11:$AK11,"G")</f>
        <v>5</v>
      </c>
      <c r="AM11" s="68">
        <f ca="1">COUNTIF($D11:$AK11,"N")</f>
        <v>3</v>
      </c>
      <c r="AN11" s="68">
        <f ca="1">COUNTIF($D11:$AK11,"P")</f>
        <v>3</v>
      </c>
    </row>
    <row r="12" spans="3:40" x14ac:dyDescent="0.25">
      <c r="C12" s="76"/>
      <c r="D12" s="76"/>
      <c r="E12" s="76"/>
      <c r="F12" s="76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</row>
    <row r="13" spans="3:40" x14ac:dyDescent="0.25">
      <c r="C13" s="76"/>
      <c r="D13" s="76"/>
      <c r="E13" s="76"/>
      <c r="F13" s="76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</row>
    <row r="14" spans="3:40" x14ac:dyDescent="0.25">
      <c r="C14" s="85"/>
      <c r="D14" s="81">
        <v>1</v>
      </c>
      <c r="E14" s="81">
        <v>2</v>
      </c>
      <c r="F14" s="81">
        <v>3</v>
      </c>
      <c r="G14" s="81">
        <v>4</v>
      </c>
      <c r="H14" s="81">
        <v>5</v>
      </c>
      <c r="I14" s="81">
        <v>6</v>
      </c>
      <c r="J14" s="81">
        <v>7</v>
      </c>
      <c r="K14" s="81">
        <v>8</v>
      </c>
      <c r="L14" s="81">
        <v>9</v>
      </c>
      <c r="M14" s="81">
        <v>10</v>
      </c>
      <c r="N14" s="81">
        <v>11</v>
      </c>
      <c r="O14" s="81">
        <v>12</v>
      </c>
      <c r="P14" s="81">
        <v>13</v>
      </c>
      <c r="Q14" s="81">
        <v>14</v>
      </c>
      <c r="R14" s="81">
        <v>15</v>
      </c>
      <c r="S14" s="81">
        <v>16</v>
      </c>
      <c r="T14" s="81">
        <v>17</v>
      </c>
      <c r="U14" s="81">
        <v>18</v>
      </c>
      <c r="V14" s="81">
        <v>19</v>
      </c>
      <c r="W14" s="81">
        <v>20</v>
      </c>
      <c r="X14" s="81">
        <v>21</v>
      </c>
      <c r="Y14" s="81">
        <v>22</v>
      </c>
      <c r="Z14" s="81">
        <v>23</v>
      </c>
      <c r="AA14" s="81">
        <v>24</v>
      </c>
      <c r="AB14" s="81">
        <v>25</v>
      </c>
      <c r="AC14" s="81">
        <v>26</v>
      </c>
      <c r="AD14" s="81">
        <v>27</v>
      </c>
      <c r="AE14" s="81">
        <v>28</v>
      </c>
      <c r="AF14" s="81">
        <v>29</v>
      </c>
      <c r="AG14" s="81">
        <v>30</v>
      </c>
      <c r="AH14" s="81">
        <v>31</v>
      </c>
      <c r="AI14" s="81">
        <v>32</v>
      </c>
      <c r="AJ14" s="81">
        <v>33</v>
      </c>
      <c r="AK14" s="81">
        <v>34</v>
      </c>
      <c r="AL14" s="82" t="s">
        <v>3</v>
      </c>
      <c r="AM14" s="83" t="s">
        <v>4</v>
      </c>
      <c r="AN14" s="84" t="s">
        <v>5</v>
      </c>
    </row>
    <row r="15" spans="3:40" x14ac:dyDescent="0.25">
      <c r="C15" s="59" t="str">
        <f>CONCATENATE(EQUIPES!F6)</f>
        <v>1. FC Köln</v>
      </c>
      <c r="D15" s="68" t="str">
        <f t="shared" ref="D15:AK15" ca="1" si="3">IFERROR(VLOOKUP($C15,INDIRECT("domicile_"&amp;D14),10,0),IFERROR(VLOOKUP($C15,INDIRECT("exterieur_"&amp;D$14),8,0),""))</f>
        <v>P</v>
      </c>
      <c r="E15" s="68" t="str">
        <f t="shared" ca="1" si="3"/>
        <v>P</v>
      </c>
      <c r="F15" s="68" t="str">
        <f t="shared" ca="1" si="3"/>
        <v>G</v>
      </c>
      <c r="G15" s="68" t="str">
        <f t="shared" ca="1" si="3"/>
        <v>P</v>
      </c>
      <c r="H15" s="68" t="str">
        <f t="shared" ca="1" si="3"/>
        <v>P</v>
      </c>
      <c r="I15" s="68" t="str">
        <f t="shared" ca="1" si="3"/>
        <v>P</v>
      </c>
      <c r="J15" s="68" t="str">
        <f t="shared" ca="1" si="3"/>
        <v>N</v>
      </c>
      <c r="K15" s="68" t="str">
        <f t="shared" ca="1" si="3"/>
        <v>G</v>
      </c>
      <c r="L15" s="68" t="str">
        <f t="shared" ca="1" si="3"/>
        <v>P</v>
      </c>
      <c r="M15" s="68" t="str">
        <f t="shared" ca="1" si="3"/>
        <v>P</v>
      </c>
      <c r="N15" s="68" t="str">
        <f t="shared" ca="1" si="3"/>
        <v>P</v>
      </c>
      <c r="O15" s="68" t="str">
        <f t="shared" ca="1" si="3"/>
        <v>P</v>
      </c>
      <c r="P15" s="68" t="str">
        <f t="shared" ca="1" si="3"/>
        <v>N</v>
      </c>
      <c r="Q15" s="68" t="str">
        <f t="shared" ca="1" si="3"/>
        <v>P</v>
      </c>
      <c r="R15" s="68" t="str">
        <f t="shared" ca="1" si="3"/>
        <v>G</v>
      </c>
      <c r="S15" s="68" t="str">
        <f t="shared" ca="1" si="3"/>
        <v>G</v>
      </c>
      <c r="T15" s="68" t="str">
        <f t="shared" ca="1" si="3"/>
        <v>G</v>
      </c>
      <c r="U15" s="68" t="str">
        <f t="shared" ca="1" si="3"/>
        <v>G</v>
      </c>
      <c r="V15" s="68" t="str">
        <f t="shared" ca="1" si="3"/>
        <v>P</v>
      </c>
      <c r="W15" s="68" t="str">
        <f t="shared" ca="1" si="3"/>
        <v>G</v>
      </c>
      <c r="X15" s="68" t="str">
        <f t="shared" ca="1" si="3"/>
        <v/>
      </c>
      <c r="Y15" s="68" t="str">
        <f t="shared" ca="1" si="3"/>
        <v>P</v>
      </c>
      <c r="Z15" s="68" t="str">
        <f t="shared" ca="1" si="3"/>
        <v>G</v>
      </c>
      <c r="AA15" s="68" t="str">
        <f t="shared" ca="1" si="3"/>
        <v>G</v>
      </c>
      <c r="AB15" s="68" t="str">
        <f t="shared" ca="1" si="3"/>
        <v/>
      </c>
      <c r="AC15" s="68" t="str">
        <f t="shared" ca="1" si="3"/>
        <v/>
      </c>
      <c r="AD15" s="68" t="str">
        <f t="shared" ca="1" si="3"/>
        <v/>
      </c>
      <c r="AE15" s="68" t="str">
        <f t="shared" ca="1" si="3"/>
        <v/>
      </c>
      <c r="AF15" s="68" t="str">
        <f t="shared" ca="1" si="3"/>
        <v/>
      </c>
      <c r="AG15" s="68" t="str">
        <f t="shared" ca="1" si="3"/>
        <v/>
      </c>
      <c r="AH15" s="68" t="str">
        <f t="shared" ca="1" si="3"/>
        <v/>
      </c>
      <c r="AI15" s="68" t="str">
        <f t="shared" ca="1" si="3"/>
        <v/>
      </c>
      <c r="AJ15" s="68" t="str">
        <f t="shared" ca="1" si="3"/>
        <v/>
      </c>
      <c r="AK15" s="68" t="str">
        <f t="shared" ca="1" si="3"/>
        <v/>
      </c>
      <c r="AL15" s="68">
        <f ca="1">COUNTIF($D15:$AK15,"G")</f>
        <v>9</v>
      </c>
      <c r="AM15" s="68">
        <f ca="1">COUNTIF($D15:$AK15,"N")</f>
        <v>2</v>
      </c>
      <c r="AN15" s="68">
        <f ca="1">COUNTIF($D15:$AK15,"P")</f>
        <v>12</v>
      </c>
    </row>
    <row r="16" spans="3:40" x14ac:dyDescent="0.25">
      <c r="C16" s="59" t="str">
        <f>CONCATENATE(EQUIPES!F7)</f>
        <v>1. FC Union Berlin</v>
      </c>
      <c r="D16" s="68" t="str">
        <f t="shared" ref="D16:AK16" ca="1" si="4">IFERROR(VLOOKUP($C16,INDIRECT("domicile_"&amp;D14),10,0),IFERROR(VLOOKUP($C16,INDIRECT("exterieur_"&amp;D$14),8,0),""))</f>
        <v>P</v>
      </c>
      <c r="E16" s="68" t="str">
        <f t="shared" ca="1" si="4"/>
        <v>N</v>
      </c>
      <c r="F16" s="68" t="str">
        <f t="shared" ca="1" si="4"/>
        <v>G</v>
      </c>
      <c r="G16" s="68" t="str">
        <f t="shared" ca="1" si="4"/>
        <v>P</v>
      </c>
      <c r="H16" s="68" t="str">
        <f t="shared" ca="1" si="4"/>
        <v>P</v>
      </c>
      <c r="I16" s="68" t="str">
        <f t="shared" ca="1" si="4"/>
        <v>P</v>
      </c>
      <c r="J16" s="68" t="str">
        <f t="shared" ca="1" si="4"/>
        <v>P</v>
      </c>
      <c r="K16" s="68" t="str">
        <f t="shared" ca="1" si="4"/>
        <v>G</v>
      </c>
      <c r="L16" s="68" t="str">
        <f t="shared" ca="1" si="4"/>
        <v>P</v>
      </c>
      <c r="M16" s="68" t="str">
        <f t="shared" ca="1" si="4"/>
        <v>G</v>
      </c>
      <c r="N16" s="68" t="str">
        <f t="shared" ca="1" si="4"/>
        <v>G</v>
      </c>
      <c r="O16" s="68" t="str">
        <f t="shared" ca="1" si="4"/>
        <v>G</v>
      </c>
      <c r="P16" s="68" t="str">
        <f t="shared" ca="1" si="4"/>
        <v>P</v>
      </c>
      <c r="Q16" s="68" t="str">
        <f t="shared" ca="1" si="4"/>
        <v>G</v>
      </c>
      <c r="R16" s="68" t="str">
        <f t="shared" ca="1" si="4"/>
        <v>N</v>
      </c>
      <c r="S16" s="68" t="str">
        <f t="shared" ca="1" si="4"/>
        <v>P</v>
      </c>
      <c r="T16" s="68" t="str">
        <f t="shared" ca="1" si="4"/>
        <v>P</v>
      </c>
      <c r="U16" s="68" t="str">
        <f t="shared" ca="1" si="4"/>
        <v>P</v>
      </c>
      <c r="V16" s="68" t="str">
        <f t="shared" ca="1" si="4"/>
        <v>G</v>
      </c>
      <c r="W16" s="68" t="str">
        <f t="shared" ca="1" si="4"/>
        <v>P</v>
      </c>
      <c r="X16" s="68" t="str">
        <f t="shared" ca="1" si="4"/>
        <v>G</v>
      </c>
      <c r="Y16" s="68" t="str">
        <f t="shared" ca="1" si="4"/>
        <v>P</v>
      </c>
      <c r="Z16" s="68" t="str">
        <f t="shared" ca="1" si="4"/>
        <v>G</v>
      </c>
      <c r="AA16" s="68" t="str">
        <f t="shared" ca="1" si="4"/>
        <v>N</v>
      </c>
      <c r="AB16" s="68" t="str">
        <f t="shared" ca="1" si="4"/>
        <v/>
      </c>
      <c r="AC16" s="68" t="str">
        <f t="shared" ca="1" si="4"/>
        <v/>
      </c>
      <c r="AD16" s="68" t="str">
        <f t="shared" ca="1" si="4"/>
        <v/>
      </c>
      <c r="AE16" s="68" t="str">
        <f t="shared" ca="1" si="4"/>
        <v/>
      </c>
      <c r="AF16" s="68" t="str">
        <f t="shared" ca="1" si="4"/>
        <v/>
      </c>
      <c r="AG16" s="68" t="str">
        <f t="shared" ca="1" si="4"/>
        <v/>
      </c>
      <c r="AH16" s="68" t="str">
        <f t="shared" ca="1" si="4"/>
        <v/>
      </c>
      <c r="AI16" s="68" t="str">
        <f t="shared" ca="1" si="4"/>
        <v/>
      </c>
      <c r="AJ16" s="68" t="str">
        <f t="shared" ca="1" si="4"/>
        <v/>
      </c>
      <c r="AK16" s="68" t="str">
        <f t="shared" ca="1" si="4"/>
        <v/>
      </c>
      <c r="AL16" s="68">
        <f t="shared" ref="AL16:AL32" ca="1" si="5">COUNTIF($D16:$AK16,"G")</f>
        <v>9</v>
      </c>
      <c r="AM16" s="68">
        <f t="shared" ref="AM16:AM32" ca="1" si="6">COUNTIF($D16:$AK16,"N")</f>
        <v>3</v>
      </c>
      <c r="AN16" s="68">
        <f t="shared" ref="AN16:AN32" ca="1" si="7">COUNTIF($D16:$AK16,"P")</f>
        <v>12</v>
      </c>
    </row>
    <row r="17" spans="3:40" x14ac:dyDescent="0.25">
      <c r="C17" s="59" t="str">
        <f>CONCATENATE(EQUIPES!F8)</f>
        <v>1. FSV Mainz 05</v>
      </c>
      <c r="D17" s="68" t="str">
        <f t="shared" ref="D17:AK17" ca="1" si="8">IFERROR(VLOOKUP($C17,INDIRECT("domicile_"&amp;D14),10,0),IFERROR(VLOOKUP($C17,INDIRECT("exterieur_"&amp;D$14),8,0),""))</f>
        <v>P</v>
      </c>
      <c r="E17" s="68" t="str">
        <f t="shared" ca="1" si="8"/>
        <v>P</v>
      </c>
      <c r="F17" s="68" t="str">
        <f t="shared" ca="1" si="8"/>
        <v>P</v>
      </c>
      <c r="G17" s="68" t="str">
        <f t="shared" ca="1" si="8"/>
        <v>G</v>
      </c>
      <c r="H17" s="68" t="str">
        <f t="shared" ca="1" si="8"/>
        <v>P</v>
      </c>
      <c r="I17" s="68" t="str">
        <f t="shared" ca="1" si="8"/>
        <v>P</v>
      </c>
      <c r="J17" s="68" t="str">
        <f t="shared" ca="1" si="8"/>
        <v>G</v>
      </c>
      <c r="K17" s="68" t="str">
        <f t="shared" ca="1" si="8"/>
        <v>P</v>
      </c>
      <c r="L17" s="68" t="str">
        <f t="shared" ca="1" si="8"/>
        <v>G</v>
      </c>
      <c r="M17" s="68" t="str">
        <f t="shared" ca="1" si="8"/>
        <v>P</v>
      </c>
      <c r="N17" s="68" t="str">
        <f t="shared" ca="1" si="8"/>
        <v>P</v>
      </c>
      <c r="O17" s="68" t="str">
        <f t="shared" ca="1" si="8"/>
        <v>G</v>
      </c>
      <c r="P17" s="68" t="str">
        <f t="shared" ca="1" si="8"/>
        <v>G</v>
      </c>
      <c r="Q17" s="68" t="str">
        <f t="shared" ca="1" si="8"/>
        <v>P</v>
      </c>
      <c r="R17" s="68" t="str">
        <f t="shared" ca="1" si="8"/>
        <v>P</v>
      </c>
      <c r="S17" s="68" t="str">
        <f t="shared" ca="1" si="8"/>
        <v>G</v>
      </c>
      <c r="T17" s="68" t="str">
        <f t="shared" ca="1" si="8"/>
        <v>P</v>
      </c>
      <c r="U17" s="68" t="str">
        <f t="shared" ca="1" si="8"/>
        <v>P</v>
      </c>
      <c r="V17" s="68" t="str">
        <f t="shared" ca="1" si="8"/>
        <v>P</v>
      </c>
      <c r="W17" s="68" t="str">
        <f t="shared" ca="1" si="8"/>
        <v>P</v>
      </c>
      <c r="X17" s="68" t="str">
        <f t="shared" ca="1" si="8"/>
        <v>G</v>
      </c>
      <c r="Y17" s="68" t="str">
        <f t="shared" ca="1" si="8"/>
        <v>N</v>
      </c>
      <c r="Z17" s="68" t="str">
        <f t="shared" ca="1" si="8"/>
        <v>P</v>
      </c>
      <c r="AA17" s="68" t="str">
        <f t="shared" ca="1" si="8"/>
        <v>G</v>
      </c>
      <c r="AB17" s="68" t="str">
        <f t="shared" ca="1" si="8"/>
        <v/>
      </c>
      <c r="AC17" s="68" t="str">
        <f t="shared" ca="1" si="8"/>
        <v/>
      </c>
      <c r="AD17" s="68" t="str">
        <f t="shared" ca="1" si="8"/>
        <v/>
      </c>
      <c r="AE17" s="68" t="str">
        <f t="shared" ca="1" si="8"/>
        <v/>
      </c>
      <c r="AF17" s="68" t="str">
        <f t="shared" ca="1" si="8"/>
        <v/>
      </c>
      <c r="AG17" s="68" t="str">
        <f t="shared" ca="1" si="8"/>
        <v/>
      </c>
      <c r="AH17" s="68" t="str">
        <f t="shared" ca="1" si="8"/>
        <v/>
      </c>
      <c r="AI17" s="68" t="str">
        <f t="shared" ca="1" si="8"/>
        <v/>
      </c>
      <c r="AJ17" s="68" t="str">
        <f t="shared" ca="1" si="8"/>
        <v/>
      </c>
      <c r="AK17" s="68" t="str">
        <f t="shared" ca="1" si="8"/>
        <v/>
      </c>
      <c r="AL17" s="68">
        <f t="shared" ca="1" si="5"/>
        <v>8</v>
      </c>
      <c r="AM17" s="68">
        <f t="shared" ca="1" si="6"/>
        <v>1</v>
      </c>
      <c r="AN17" s="68">
        <f t="shared" ca="1" si="7"/>
        <v>15</v>
      </c>
    </row>
    <row r="18" spans="3:40" x14ac:dyDescent="0.25">
      <c r="C18" s="59" t="str">
        <f>CONCATENATE(EQUIPES!F9)</f>
        <v>1899 Hoffenheim</v>
      </c>
      <c r="D18" s="68" t="str">
        <f t="shared" ref="D18:AK18" ca="1" si="9">IFERROR(VLOOKUP($C18,INDIRECT("domicile_"&amp;D14),10,0),IFERROR(VLOOKUP($C18,INDIRECT("exterieur_"&amp;D$14),8,0),""))</f>
        <v>P</v>
      </c>
      <c r="E18" s="68" t="str">
        <f t="shared" ca="1" si="9"/>
        <v>G</v>
      </c>
      <c r="F18" s="68" t="str">
        <f t="shared" ca="1" si="9"/>
        <v>N</v>
      </c>
      <c r="G18" s="68" t="str">
        <f t="shared" ca="1" si="9"/>
        <v>P</v>
      </c>
      <c r="H18" s="68" t="str">
        <f t="shared" ca="1" si="9"/>
        <v>N</v>
      </c>
      <c r="I18" s="68" t="str">
        <f t="shared" ca="1" si="9"/>
        <v>P</v>
      </c>
      <c r="J18" s="68" t="str">
        <f t="shared" ca="1" si="9"/>
        <v>G</v>
      </c>
      <c r="K18" s="68" t="str">
        <f t="shared" ca="1" si="9"/>
        <v>G</v>
      </c>
      <c r="L18" s="68" t="str">
        <f t="shared" ca="1" si="9"/>
        <v>G</v>
      </c>
      <c r="M18" s="68" t="str">
        <f t="shared" ca="1" si="9"/>
        <v>G</v>
      </c>
      <c r="N18" s="68" t="str">
        <f t="shared" ca="1" si="9"/>
        <v>G</v>
      </c>
      <c r="O18" s="68" t="str">
        <f t="shared" ca="1" si="9"/>
        <v>P</v>
      </c>
      <c r="P18" s="68" t="str">
        <f t="shared" ca="1" si="9"/>
        <v>N</v>
      </c>
      <c r="Q18" s="68" t="str">
        <f t="shared" ca="1" si="9"/>
        <v>P</v>
      </c>
      <c r="R18" s="68" t="str">
        <f t="shared" ca="1" si="9"/>
        <v>P</v>
      </c>
      <c r="S18" s="68" t="str">
        <f t="shared" ca="1" si="9"/>
        <v>G</v>
      </c>
      <c r="T18" s="68" t="str">
        <f t="shared" ca="1" si="9"/>
        <v>G</v>
      </c>
      <c r="U18" s="68" t="str">
        <f t="shared" ca="1" si="9"/>
        <v>P</v>
      </c>
      <c r="V18" s="68" t="str">
        <f t="shared" ca="1" si="9"/>
        <v>G</v>
      </c>
      <c r="W18" s="68" t="str">
        <f t="shared" ca="1" si="9"/>
        <v>G</v>
      </c>
      <c r="X18" s="68" t="str">
        <f t="shared" ca="1" si="9"/>
        <v>P</v>
      </c>
      <c r="Y18" s="68" t="str">
        <f t="shared" ca="1" si="9"/>
        <v>P</v>
      </c>
      <c r="Z18" s="68" t="str">
        <f t="shared" ca="1" si="9"/>
        <v>N</v>
      </c>
      <c r="AA18" s="68" t="str">
        <f t="shared" ca="1" si="9"/>
        <v>P</v>
      </c>
      <c r="AB18" s="68" t="str">
        <f t="shared" ca="1" si="9"/>
        <v/>
      </c>
      <c r="AC18" s="68" t="str">
        <f t="shared" ca="1" si="9"/>
        <v/>
      </c>
      <c r="AD18" s="68" t="str">
        <f t="shared" ca="1" si="9"/>
        <v/>
      </c>
      <c r="AE18" s="68" t="str">
        <f t="shared" ca="1" si="9"/>
        <v/>
      </c>
      <c r="AF18" s="68" t="str">
        <f t="shared" ca="1" si="9"/>
        <v/>
      </c>
      <c r="AG18" s="68" t="str">
        <f t="shared" ca="1" si="9"/>
        <v/>
      </c>
      <c r="AH18" s="68" t="str">
        <f t="shared" ca="1" si="9"/>
        <v/>
      </c>
      <c r="AI18" s="68" t="str">
        <f t="shared" ca="1" si="9"/>
        <v/>
      </c>
      <c r="AJ18" s="68" t="str">
        <f t="shared" ca="1" si="9"/>
        <v/>
      </c>
      <c r="AK18" s="68" t="str">
        <f t="shared" ca="1" si="9"/>
        <v/>
      </c>
      <c r="AL18" s="68">
        <f t="shared" ca="1" si="5"/>
        <v>10</v>
      </c>
      <c r="AM18" s="68">
        <f t="shared" ca="1" si="6"/>
        <v>4</v>
      </c>
      <c r="AN18" s="68">
        <f t="shared" ca="1" si="7"/>
        <v>10</v>
      </c>
    </row>
    <row r="19" spans="3:40" x14ac:dyDescent="0.25">
      <c r="C19" s="59" t="str">
        <f>CONCATENATE(EQUIPES!F10)</f>
        <v>Bayer Leverkusen</v>
      </c>
      <c r="D19" s="68" t="str">
        <f t="shared" ref="D19:AK19" ca="1" si="10">IFERROR(VLOOKUP($C19,INDIRECT("domicile_"&amp;D14),10,0),IFERROR(VLOOKUP($C19,INDIRECT("exterieur_"&amp;D$14),8,0),""))</f>
        <v>G</v>
      </c>
      <c r="E19" s="68" t="str">
        <f t="shared" ca="1" si="10"/>
        <v>G</v>
      </c>
      <c r="F19" s="68" t="str">
        <f t="shared" ca="1" si="10"/>
        <v>N</v>
      </c>
      <c r="G19" s="68" t="str">
        <f t="shared" ca="1" si="10"/>
        <v>P</v>
      </c>
      <c r="H19" s="68" t="str">
        <f t="shared" ca="1" si="10"/>
        <v>G</v>
      </c>
      <c r="I19" s="68" t="str">
        <f t="shared" ca="1" si="10"/>
        <v>G</v>
      </c>
      <c r="J19" s="68" t="str">
        <f t="shared" ca="1" si="10"/>
        <v>N</v>
      </c>
      <c r="K19" s="68" t="str">
        <f t="shared" ca="1" si="10"/>
        <v>P</v>
      </c>
      <c r="L19" s="68" t="str">
        <f t="shared" ca="1" si="10"/>
        <v>N</v>
      </c>
      <c r="M19" s="68" t="str">
        <f t="shared" ca="1" si="10"/>
        <v>P</v>
      </c>
      <c r="N19" s="68" t="str">
        <f t="shared" ca="1" si="10"/>
        <v>G</v>
      </c>
      <c r="O19" s="68" t="str">
        <f t="shared" ca="1" si="10"/>
        <v>N</v>
      </c>
      <c r="P19" s="68" t="str">
        <f t="shared" ca="1" si="10"/>
        <v>G</v>
      </c>
      <c r="Q19" s="68" t="str">
        <f t="shared" ca="1" si="10"/>
        <v>G</v>
      </c>
      <c r="R19" s="68" t="str">
        <f t="shared" ca="1" si="10"/>
        <v>P</v>
      </c>
      <c r="S19" s="68" t="str">
        <f t="shared" ca="1" si="10"/>
        <v>P</v>
      </c>
      <c r="T19" s="68" t="str">
        <f t="shared" ca="1" si="10"/>
        <v>G</v>
      </c>
      <c r="U19" s="68" t="str">
        <f t="shared" ca="1" si="10"/>
        <v>G</v>
      </c>
      <c r="V19" s="68" t="str">
        <f t="shared" ca="1" si="10"/>
        <v>G</v>
      </c>
      <c r="W19" s="68" t="str">
        <f t="shared" ca="1" si="10"/>
        <v>P</v>
      </c>
      <c r="X19" s="68" t="str">
        <f t="shared" ca="1" si="10"/>
        <v>G</v>
      </c>
      <c r="Y19" s="68" t="str">
        <f t="shared" ca="1" si="10"/>
        <v>G</v>
      </c>
      <c r="Z19" s="68" t="str">
        <f t="shared" ca="1" si="10"/>
        <v>G</v>
      </c>
      <c r="AA19" s="68" t="str">
        <f t="shared" ca="1" si="10"/>
        <v>N</v>
      </c>
      <c r="AB19" s="68" t="str">
        <f t="shared" ca="1" si="10"/>
        <v/>
      </c>
      <c r="AC19" s="68" t="str">
        <f t="shared" ca="1" si="10"/>
        <v/>
      </c>
      <c r="AD19" s="68" t="str">
        <f t="shared" ca="1" si="10"/>
        <v/>
      </c>
      <c r="AE19" s="68" t="str">
        <f t="shared" ca="1" si="10"/>
        <v/>
      </c>
      <c r="AF19" s="68" t="str">
        <f t="shared" ca="1" si="10"/>
        <v/>
      </c>
      <c r="AG19" s="68" t="str">
        <f t="shared" ca="1" si="10"/>
        <v/>
      </c>
      <c r="AH19" s="68" t="str">
        <f t="shared" ca="1" si="10"/>
        <v/>
      </c>
      <c r="AI19" s="68" t="str">
        <f t="shared" ca="1" si="10"/>
        <v/>
      </c>
      <c r="AJ19" s="68" t="str">
        <f t="shared" ca="1" si="10"/>
        <v/>
      </c>
      <c r="AK19" s="68" t="str">
        <f t="shared" ca="1" si="10"/>
        <v/>
      </c>
      <c r="AL19" s="68">
        <f t="shared" ca="1" si="5"/>
        <v>13</v>
      </c>
      <c r="AM19" s="68">
        <f t="shared" ca="1" si="6"/>
        <v>5</v>
      </c>
      <c r="AN19" s="68">
        <f t="shared" ca="1" si="7"/>
        <v>6</v>
      </c>
    </row>
    <row r="20" spans="3:40" x14ac:dyDescent="0.25">
      <c r="C20" s="59" t="str">
        <f>CONCATENATE(EQUIPES!F11)</f>
        <v>Bayern München</v>
      </c>
      <c r="D20" s="68" t="str">
        <f t="shared" ref="D20:AK20" ca="1" si="11">IFERROR(VLOOKUP($C20,INDIRECT("domicile_"&amp;D14),10,0),IFERROR(VLOOKUP($C20,INDIRECT("exterieur_"&amp;D$14),8,0),""))</f>
        <v>N</v>
      </c>
      <c r="E20" s="68" t="str">
        <f t="shared" ca="1" si="11"/>
        <v>G</v>
      </c>
      <c r="F20" s="68" t="str">
        <f t="shared" ca="1" si="11"/>
        <v>G</v>
      </c>
      <c r="G20" s="68" t="str">
        <f t="shared" ca="1" si="11"/>
        <v>N</v>
      </c>
      <c r="H20" s="68" t="str">
        <f t="shared" ca="1" si="11"/>
        <v>G</v>
      </c>
      <c r="I20" s="68" t="str">
        <f t="shared" ca="1" si="11"/>
        <v>G</v>
      </c>
      <c r="J20" s="68" t="str">
        <f t="shared" ca="1" si="11"/>
        <v>P</v>
      </c>
      <c r="K20" s="68" t="str">
        <f t="shared" ca="1" si="11"/>
        <v>N</v>
      </c>
      <c r="L20" s="68" t="str">
        <f t="shared" ca="1" si="11"/>
        <v>G</v>
      </c>
      <c r="M20" s="68" t="str">
        <f t="shared" ca="1" si="11"/>
        <v>P</v>
      </c>
      <c r="N20" s="68" t="str">
        <f t="shared" ca="1" si="11"/>
        <v>G</v>
      </c>
      <c r="O20" s="68" t="str">
        <f t="shared" ca="1" si="11"/>
        <v>G</v>
      </c>
      <c r="P20" s="68" t="str">
        <f t="shared" ca="1" si="11"/>
        <v>P</v>
      </c>
      <c r="Q20" s="68" t="str">
        <f t="shared" ca="1" si="11"/>
        <v>P</v>
      </c>
      <c r="R20" s="68" t="str">
        <f t="shared" ca="1" si="11"/>
        <v>G</v>
      </c>
      <c r="S20" s="68" t="str">
        <f t="shared" ca="1" si="11"/>
        <v>G</v>
      </c>
      <c r="T20" s="68" t="str">
        <f t="shared" ca="1" si="11"/>
        <v>G</v>
      </c>
      <c r="U20" s="68" t="str">
        <f t="shared" ca="1" si="11"/>
        <v>G</v>
      </c>
      <c r="V20" s="68" t="str">
        <f t="shared" ca="1" si="11"/>
        <v>G</v>
      </c>
      <c r="W20" s="68" t="str">
        <f t="shared" ca="1" si="11"/>
        <v>G</v>
      </c>
      <c r="X20" s="68" t="str">
        <f t="shared" ca="1" si="11"/>
        <v>N</v>
      </c>
      <c r="Y20" s="68" t="str">
        <f t="shared" ca="1" si="11"/>
        <v>G</v>
      </c>
      <c r="Z20" s="68" t="str">
        <f t="shared" ca="1" si="11"/>
        <v>G</v>
      </c>
      <c r="AA20" s="68" t="str">
        <f t="shared" ca="1" si="11"/>
        <v>G</v>
      </c>
      <c r="AB20" s="68" t="str">
        <f t="shared" ca="1" si="11"/>
        <v/>
      </c>
      <c r="AC20" s="68" t="str">
        <f t="shared" ca="1" si="11"/>
        <v/>
      </c>
      <c r="AD20" s="68" t="str">
        <f t="shared" ca="1" si="11"/>
        <v/>
      </c>
      <c r="AE20" s="68" t="str">
        <f t="shared" ca="1" si="11"/>
        <v/>
      </c>
      <c r="AF20" s="68" t="str">
        <f t="shared" ca="1" si="11"/>
        <v/>
      </c>
      <c r="AG20" s="68" t="str">
        <f t="shared" ca="1" si="11"/>
        <v/>
      </c>
      <c r="AH20" s="68" t="str">
        <f t="shared" ca="1" si="11"/>
        <v/>
      </c>
      <c r="AI20" s="68" t="str">
        <f t="shared" ca="1" si="11"/>
        <v/>
      </c>
      <c r="AJ20" s="68" t="str">
        <f t="shared" ca="1" si="11"/>
        <v/>
      </c>
      <c r="AK20" s="68" t="str">
        <f t="shared" ca="1" si="11"/>
        <v/>
      </c>
      <c r="AL20" s="68">
        <f t="shared" ca="1" si="5"/>
        <v>16</v>
      </c>
      <c r="AM20" s="68">
        <f t="shared" ca="1" si="6"/>
        <v>4</v>
      </c>
      <c r="AN20" s="68">
        <f t="shared" ca="1" si="7"/>
        <v>4</v>
      </c>
    </row>
    <row r="21" spans="3:40" x14ac:dyDescent="0.25">
      <c r="C21" s="59" t="str">
        <f>CONCATENATE(EQUIPES!F12)</f>
        <v>Bor. Mönchengladbach</v>
      </c>
      <c r="D21" s="68" t="str">
        <f t="shared" ref="D21:AK21" ca="1" si="12">IFERROR(VLOOKUP($C21,INDIRECT("domicile_"&amp;D14),10,0),IFERROR(VLOOKUP($C21,INDIRECT("exterieur_"&amp;D$14),8,0),""))</f>
        <v>N</v>
      </c>
      <c r="E21" s="68" t="str">
        <f t="shared" ca="1" si="12"/>
        <v>G</v>
      </c>
      <c r="F21" s="68" t="str">
        <f t="shared" ca="1" si="12"/>
        <v>P</v>
      </c>
      <c r="G21" s="68" t="str">
        <f t="shared" ca="1" si="12"/>
        <v>G</v>
      </c>
      <c r="H21" s="68" t="str">
        <f t="shared" ca="1" si="12"/>
        <v>G</v>
      </c>
      <c r="I21" s="68" t="str">
        <f t="shared" ca="1" si="12"/>
        <v>G</v>
      </c>
      <c r="J21" s="68" t="str">
        <f t="shared" ca="1" si="12"/>
        <v>G</v>
      </c>
      <c r="K21" s="68" t="str">
        <f t="shared" ca="1" si="12"/>
        <v>P</v>
      </c>
      <c r="L21" s="68" t="str">
        <f t="shared" ca="1" si="12"/>
        <v>G</v>
      </c>
      <c r="M21" s="68" t="str">
        <f t="shared" ca="1" si="12"/>
        <v>G</v>
      </c>
      <c r="N21" s="68" t="str">
        <f t="shared" ca="1" si="12"/>
        <v>G</v>
      </c>
      <c r="O21" s="68" t="str">
        <f t="shared" ca="1" si="12"/>
        <v>P</v>
      </c>
      <c r="P21" s="68" t="str">
        <f t="shared" ca="1" si="12"/>
        <v>G</v>
      </c>
      <c r="Q21" s="68" t="str">
        <f t="shared" ca="1" si="12"/>
        <v>G</v>
      </c>
      <c r="R21" s="68" t="str">
        <f t="shared" ca="1" si="12"/>
        <v>P</v>
      </c>
      <c r="S21" s="68" t="str">
        <f t="shared" ca="1" si="12"/>
        <v>G</v>
      </c>
      <c r="T21" s="68" t="str">
        <f t="shared" ca="1" si="12"/>
        <v>N</v>
      </c>
      <c r="U21" s="68" t="str">
        <f t="shared" ca="1" si="12"/>
        <v>P</v>
      </c>
      <c r="V21" s="68" t="str">
        <f t="shared" ca="1" si="12"/>
        <v>G</v>
      </c>
      <c r="W21" s="68" t="str">
        <f t="shared" ca="1" si="12"/>
        <v>N</v>
      </c>
      <c r="X21" s="68" t="str">
        <f t="shared" ca="1" si="12"/>
        <v/>
      </c>
      <c r="Y21" s="68" t="str">
        <f t="shared" ca="1" si="12"/>
        <v>G</v>
      </c>
      <c r="Z21" s="68" t="str">
        <f t="shared" ca="1" si="12"/>
        <v>N</v>
      </c>
      <c r="AA21" s="68" t="str">
        <f t="shared" ca="1" si="12"/>
        <v>G</v>
      </c>
      <c r="AB21" s="68" t="str">
        <f t="shared" ca="1" si="12"/>
        <v/>
      </c>
      <c r="AC21" s="68" t="str">
        <f t="shared" ca="1" si="12"/>
        <v/>
      </c>
      <c r="AD21" s="68" t="str">
        <f t="shared" ca="1" si="12"/>
        <v/>
      </c>
      <c r="AE21" s="68" t="str">
        <f t="shared" ca="1" si="12"/>
        <v/>
      </c>
      <c r="AF21" s="68" t="str">
        <f t="shared" ca="1" si="12"/>
        <v/>
      </c>
      <c r="AG21" s="68" t="str">
        <f t="shared" ca="1" si="12"/>
        <v/>
      </c>
      <c r="AH21" s="68" t="str">
        <f t="shared" ca="1" si="12"/>
        <v/>
      </c>
      <c r="AI21" s="68" t="str">
        <f t="shared" ca="1" si="12"/>
        <v/>
      </c>
      <c r="AJ21" s="68" t="str">
        <f t="shared" ca="1" si="12"/>
        <v/>
      </c>
      <c r="AK21" s="68" t="str">
        <f t="shared" ca="1" si="12"/>
        <v/>
      </c>
      <c r="AL21" s="68">
        <f t="shared" ca="1" si="5"/>
        <v>14</v>
      </c>
      <c r="AM21" s="68">
        <f t="shared" ca="1" si="6"/>
        <v>4</v>
      </c>
      <c r="AN21" s="68">
        <f t="shared" ca="1" si="7"/>
        <v>5</v>
      </c>
    </row>
    <row r="22" spans="3:40" x14ac:dyDescent="0.25">
      <c r="C22" s="59" t="str">
        <f>CONCATENATE(EQUIPES!F13)</f>
        <v>Borussia Dortmund</v>
      </c>
      <c r="D22" s="68" t="str">
        <f t="shared" ref="D22:AK22" ca="1" si="13">IFERROR(VLOOKUP($C22,INDIRECT("domicile_"&amp;D14),10,0),IFERROR(VLOOKUP($C22,INDIRECT("exterieur_"&amp;D$14),8,0),""))</f>
        <v>G</v>
      </c>
      <c r="E22" s="68" t="str">
        <f t="shared" ca="1" si="13"/>
        <v>G</v>
      </c>
      <c r="F22" s="68" t="str">
        <f t="shared" ca="1" si="13"/>
        <v>P</v>
      </c>
      <c r="G22" s="68" t="str">
        <f t="shared" ca="1" si="13"/>
        <v>G</v>
      </c>
      <c r="H22" s="68" t="str">
        <f t="shared" ca="1" si="13"/>
        <v>N</v>
      </c>
      <c r="I22" s="68" t="str">
        <f t="shared" ca="1" si="13"/>
        <v>N</v>
      </c>
      <c r="J22" s="68" t="str">
        <f t="shared" ca="1" si="13"/>
        <v>N</v>
      </c>
      <c r="K22" s="68" t="str">
        <f t="shared" ca="1" si="13"/>
        <v>G</v>
      </c>
      <c r="L22" s="68" t="str">
        <f t="shared" ca="1" si="13"/>
        <v>N</v>
      </c>
      <c r="M22" s="68" t="str">
        <f t="shared" ca="1" si="13"/>
        <v>G</v>
      </c>
      <c r="N22" s="68" t="str">
        <f t="shared" ca="1" si="13"/>
        <v>P</v>
      </c>
      <c r="O22" s="68" t="str">
        <f t="shared" ca="1" si="13"/>
        <v>N</v>
      </c>
      <c r="P22" s="68" t="str">
        <f t="shared" ca="1" si="13"/>
        <v>G</v>
      </c>
      <c r="Q22" s="68" t="str">
        <f t="shared" ca="1" si="13"/>
        <v>G</v>
      </c>
      <c r="R22" s="68" t="str">
        <f t="shared" ca="1" si="13"/>
        <v>G</v>
      </c>
      <c r="S22" s="68" t="str">
        <f t="shared" ca="1" si="13"/>
        <v>N</v>
      </c>
      <c r="T22" s="68" t="str">
        <f t="shared" ca="1" si="13"/>
        <v>P</v>
      </c>
      <c r="U22" s="68" t="str">
        <f t="shared" ca="1" si="13"/>
        <v>G</v>
      </c>
      <c r="V22" s="68" t="str">
        <f t="shared" ca="1" si="13"/>
        <v>G</v>
      </c>
      <c r="W22" s="68" t="str">
        <f t="shared" ca="1" si="13"/>
        <v>G</v>
      </c>
      <c r="X22" s="68" t="str">
        <f t="shared" ca="1" si="13"/>
        <v>P</v>
      </c>
      <c r="Y22" s="68" t="str">
        <f t="shared" ca="1" si="13"/>
        <v>G</v>
      </c>
      <c r="Z22" s="68" t="str">
        <f t="shared" ca="1" si="13"/>
        <v>G</v>
      </c>
      <c r="AA22" s="68" t="str">
        <f t="shared" ca="1" si="13"/>
        <v>G</v>
      </c>
      <c r="AB22" s="68" t="str">
        <f t="shared" ca="1" si="13"/>
        <v/>
      </c>
      <c r="AC22" s="68" t="str">
        <f t="shared" ca="1" si="13"/>
        <v/>
      </c>
      <c r="AD22" s="68" t="str">
        <f t="shared" ca="1" si="13"/>
        <v/>
      </c>
      <c r="AE22" s="68" t="str">
        <f t="shared" ca="1" si="13"/>
        <v/>
      </c>
      <c r="AF22" s="68" t="str">
        <f t="shared" ca="1" si="13"/>
        <v/>
      </c>
      <c r="AG22" s="68" t="str">
        <f t="shared" ca="1" si="13"/>
        <v/>
      </c>
      <c r="AH22" s="68" t="str">
        <f t="shared" ca="1" si="13"/>
        <v/>
      </c>
      <c r="AI22" s="68" t="str">
        <f t="shared" ca="1" si="13"/>
        <v/>
      </c>
      <c r="AJ22" s="68" t="str">
        <f t="shared" ca="1" si="13"/>
        <v/>
      </c>
      <c r="AK22" s="68" t="str">
        <f t="shared" ca="1" si="13"/>
        <v/>
      </c>
      <c r="AL22" s="68">
        <f t="shared" ca="1" si="5"/>
        <v>14</v>
      </c>
      <c r="AM22" s="68">
        <f t="shared" ca="1" si="6"/>
        <v>6</v>
      </c>
      <c r="AN22" s="68">
        <f t="shared" ca="1" si="7"/>
        <v>4</v>
      </c>
    </row>
    <row r="23" spans="3:40" x14ac:dyDescent="0.25">
      <c r="C23" s="59" t="str">
        <f>CONCATENATE(EQUIPES!F14)</f>
        <v>Eintracht Frankfurt</v>
      </c>
      <c r="D23" s="68" t="str">
        <f t="shared" ref="D23:AK23" ca="1" si="14">IFERROR(VLOOKUP($C23,INDIRECT("domicile_"&amp;D14),10,0),IFERROR(VLOOKUP($C23,INDIRECT("exterieur_"&amp;D$14),8,0),""))</f>
        <v>G</v>
      </c>
      <c r="E23" s="68" t="str">
        <f t="shared" ca="1" si="14"/>
        <v>P</v>
      </c>
      <c r="F23" s="68" t="str">
        <f t="shared" ca="1" si="14"/>
        <v>G</v>
      </c>
      <c r="G23" s="68" t="str">
        <f t="shared" ca="1" si="14"/>
        <v>P</v>
      </c>
      <c r="H23" s="68" t="str">
        <f t="shared" ca="1" si="14"/>
        <v>N</v>
      </c>
      <c r="I23" s="68" t="str">
        <f t="shared" ca="1" si="14"/>
        <v>G</v>
      </c>
      <c r="J23" s="68" t="str">
        <f t="shared" ca="1" si="14"/>
        <v>N</v>
      </c>
      <c r="K23" s="68" t="str">
        <f t="shared" ca="1" si="14"/>
        <v>G</v>
      </c>
      <c r="L23" s="68" t="str">
        <f t="shared" ca="1" si="14"/>
        <v>P</v>
      </c>
      <c r="M23" s="68" t="str">
        <f t="shared" ca="1" si="14"/>
        <v>G</v>
      </c>
      <c r="N23" s="68" t="str">
        <f t="shared" ca="1" si="14"/>
        <v>P</v>
      </c>
      <c r="O23" s="68" t="str">
        <f t="shared" ca="1" si="14"/>
        <v>P</v>
      </c>
      <c r="P23" s="68" t="str">
        <f t="shared" ca="1" si="14"/>
        <v>P</v>
      </c>
      <c r="Q23" s="68" t="str">
        <f t="shared" ca="1" si="14"/>
        <v>N</v>
      </c>
      <c r="R23" s="68" t="str">
        <f t="shared" ca="1" si="14"/>
        <v>P</v>
      </c>
      <c r="S23" s="68" t="str">
        <f t="shared" ca="1" si="14"/>
        <v>P</v>
      </c>
      <c r="T23" s="68" t="str">
        <f t="shared" ca="1" si="14"/>
        <v>P</v>
      </c>
      <c r="U23" s="68" t="str">
        <f t="shared" ca="1" si="14"/>
        <v>G</v>
      </c>
      <c r="V23" s="68" t="str">
        <f t="shared" ca="1" si="14"/>
        <v>G</v>
      </c>
      <c r="W23" s="68" t="str">
        <f t="shared" ca="1" si="14"/>
        <v>N</v>
      </c>
      <c r="X23" s="68" t="str">
        <f t="shared" ca="1" si="14"/>
        <v>G</v>
      </c>
      <c r="Y23" s="68" t="str">
        <f t="shared" ca="1" si="14"/>
        <v>P</v>
      </c>
      <c r="Z23" s="68" t="str">
        <f t="shared" ca="1" si="14"/>
        <v>P</v>
      </c>
      <c r="AA23" s="68" t="str">
        <f t="shared" ca="1" si="14"/>
        <v/>
      </c>
      <c r="AB23" s="68" t="str">
        <f t="shared" ca="1" si="14"/>
        <v/>
      </c>
      <c r="AC23" s="68" t="str">
        <f t="shared" ca="1" si="14"/>
        <v/>
      </c>
      <c r="AD23" s="68" t="str">
        <f t="shared" ca="1" si="14"/>
        <v/>
      </c>
      <c r="AE23" s="68" t="str">
        <f t="shared" ca="1" si="14"/>
        <v/>
      </c>
      <c r="AF23" s="68" t="str">
        <f t="shared" ca="1" si="14"/>
        <v/>
      </c>
      <c r="AG23" s="68" t="str">
        <f t="shared" ca="1" si="14"/>
        <v/>
      </c>
      <c r="AH23" s="68" t="str">
        <f t="shared" ca="1" si="14"/>
        <v/>
      </c>
      <c r="AI23" s="68" t="str">
        <f t="shared" ca="1" si="14"/>
        <v/>
      </c>
      <c r="AJ23" s="68" t="str">
        <f t="shared" ca="1" si="14"/>
        <v/>
      </c>
      <c r="AK23" s="68" t="str">
        <f t="shared" ca="1" si="14"/>
        <v/>
      </c>
      <c r="AL23" s="68">
        <f t="shared" ca="1" si="5"/>
        <v>8</v>
      </c>
      <c r="AM23" s="68">
        <f t="shared" ca="1" si="6"/>
        <v>4</v>
      </c>
      <c r="AN23" s="68">
        <f t="shared" ca="1" si="7"/>
        <v>11</v>
      </c>
    </row>
    <row r="24" spans="3:40" x14ac:dyDescent="0.25">
      <c r="C24" s="59" t="str">
        <f>CONCATENATE(EQUIPES!F15)</f>
        <v>FC Augsburg</v>
      </c>
      <c r="D24" s="68" t="str">
        <f t="shared" ref="D24:AK24" ca="1" si="15">IFERROR(VLOOKUP($C24,INDIRECT("domicile_"&amp;D14),10,0),IFERROR(VLOOKUP($C24,INDIRECT("exterieur_"&amp;D$14),8,0),""))</f>
        <v>P</v>
      </c>
      <c r="E24" s="68" t="str">
        <f t="shared" ca="1" si="15"/>
        <v>N</v>
      </c>
      <c r="F24" s="68" t="str">
        <f t="shared" ca="1" si="15"/>
        <v>P</v>
      </c>
      <c r="G24" s="68" t="str">
        <f t="shared" ca="1" si="15"/>
        <v>G</v>
      </c>
      <c r="H24" s="68" t="str">
        <f t="shared" ca="1" si="15"/>
        <v>N</v>
      </c>
      <c r="I24" s="68" t="str">
        <f t="shared" ca="1" si="15"/>
        <v>P</v>
      </c>
      <c r="J24" s="68" t="str">
        <f t="shared" ca="1" si="15"/>
        <v>P</v>
      </c>
      <c r="K24" s="68" t="str">
        <f t="shared" ca="1" si="15"/>
        <v>N</v>
      </c>
      <c r="L24" s="68" t="str">
        <f t="shared" ca="1" si="15"/>
        <v>N</v>
      </c>
      <c r="M24" s="68" t="str">
        <f t="shared" ca="1" si="15"/>
        <v>P</v>
      </c>
      <c r="N24" s="68" t="str">
        <f t="shared" ca="1" si="15"/>
        <v>G</v>
      </c>
      <c r="O24" s="68" t="str">
        <f t="shared" ca="1" si="15"/>
        <v>G</v>
      </c>
      <c r="P24" s="68" t="str">
        <f t="shared" ca="1" si="15"/>
        <v>N</v>
      </c>
      <c r="Q24" s="68" t="str">
        <f t="shared" ca="1" si="15"/>
        <v>G</v>
      </c>
      <c r="R24" s="68" t="str">
        <f t="shared" ca="1" si="15"/>
        <v>G</v>
      </c>
      <c r="S24" s="68" t="str">
        <f t="shared" ca="1" si="15"/>
        <v>G</v>
      </c>
      <c r="T24" s="68" t="str">
        <f t="shared" ca="1" si="15"/>
        <v>P</v>
      </c>
      <c r="U24" s="68" t="str">
        <f t="shared" ca="1" si="15"/>
        <v>P</v>
      </c>
      <c r="V24" s="68" t="str">
        <f t="shared" ca="1" si="15"/>
        <v>P</v>
      </c>
      <c r="W24" s="68" t="str">
        <f t="shared" ca="1" si="15"/>
        <v>G</v>
      </c>
      <c r="X24" s="68" t="str">
        <f t="shared" ca="1" si="15"/>
        <v>P</v>
      </c>
      <c r="Y24" s="68" t="str">
        <f t="shared" ca="1" si="15"/>
        <v>N</v>
      </c>
      <c r="Z24" s="68" t="str">
        <f t="shared" ca="1" si="15"/>
        <v>P</v>
      </c>
      <c r="AA24" s="68" t="str">
        <f t="shared" ca="1" si="15"/>
        <v>P</v>
      </c>
      <c r="AB24" s="68" t="str">
        <f t="shared" ca="1" si="15"/>
        <v/>
      </c>
      <c r="AC24" s="68" t="str">
        <f t="shared" ca="1" si="15"/>
        <v/>
      </c>
      <c r="AD24" s="68" t="str">
        <f t="shared" ca="1" si="15"/>
        <v/>
      </c>
      <c r="AE24" s="68" t="str">
        <f t="shared" ca="1" si="15"/>
        <v/>
      </c>
      <c r="AF24" s="68" t="str">
        <f t="shared" ca="1" si="15"/>
        <v/>
      </c>
      <c r="AG24" s="68" t="str">
        <f t="shared" ca="1" si="15"/>
        <v/>
      </c>
      <c r="AH24" s="68" t="str">
        <f t="shared" ca="1" si="15"/>
        <v/>
      </c>
      <c r="AI24" s="68" t="str">
        <f t="shared" ca="1" si="15"/>
        <v/>
      </c>
      <c r="AJ24" s="68" t="str">
        <f t="shared" ca="1" si="15"/>
        <v/>
      </c>
      <c r="AK24" s="68" t="str">
        <f t="shared" ca="1" si="15"/>
        <v/>
      </c>
      <c r="AL24" s="68">
        <f t="shared" ca="1" si="5"/>
        <v>7</v>
      </c>
      <c r="AM24" s="68">
        <f t="shared" ca="1" si="6"/>
        <v>6</v>
      </c>
      <c r="AN24" s="68">
        <f t="shared" ca="1" si="7"/>
        <v>11</v>
      </c>
    </row>
    <row r="25" spans="3:40" x14ac:dyDescent="0.25">
      <c r="C25" s="59" t="str">
        <f>CONCATENATE(EQUIPES!F16)</f>
        <v>FC Schalke 04</v>
      </c>
      <c r="D25" s="68" t="str">
        <f t="shared" ref="D25:AK25" ca="1" si="16">IFERROR(VLOOKUP($C25,INDIRECT("domicile_"&amp;D14),10,0),IFERROR(VLOOKUP($C25,INDIRECT("exterieur_"&amp;D$14),8,0),""))</f>
        <v>N</v>
      </c>
      <c r="E25" s="68" t="str">
        <f t="shared" ca="1" si="16"/>
        <v>P</v>
      </c>
      <c r="F25" s="68" t="str">
        <f t="shared" ca="1" si="16"/>
        <v>G</v>
      </c>
      <c r="G25" s="68" t="str">
        <f t="shared" ca="1" si="16"/>
        <v>G</v>
      </c>
      <c r="H25" s="68" t="str">
        <f t="shared" ca="1" si="16"/>
        <v>G</v>
      </c>
      <c r="I25" s="68" t="str">
        <f t="shared" ca="1" si="16"/>
        <v>G</v>
      </c>
      <c r="J25" s="68" t="str">
        <f t="shared" ca="1" si="16"/>
        <v>N</v>
      </c>
      <c r="K25" s="68" t="str">
        <f t="shared" ca="1" si="16"/>
        <v>P</v>
      </c>
      <c r="L25" s="68" t="str">
        <f t="shared" ca="1" si="16"/>
        <v>N</v>
      </c>
      <c r="M25" s="68" t="str">
        <f t="shared" ca="1" si="16"/>
        <v>G</v>
      </c>
      <c r="N25" s="68" t="str">
        <f t="shared" ca="1" si="16"/>
        <v>N</v>
      </c>
      <c r="O25" s="68" t="str">
        <f t="shared" ca="1" si="16"/>
        <v>G</v>
      </c>
      <c r="P25" s="68" t="str">
        <f t="shared" ca="1" si="16"/>
        <v>G</v>
      </c>
      <c r="Q25" s="68" t="str">
        <f t="shared" ca="1" si="16"/>
        <v>P</v>
      </c>
      <c r="R25" s="68" t="str">
        <f t="shared" ca="1" si="16"/>
        <v>G</v>
      </c>
      <c r="S25" s="68" t="str">
        <f t="shared" ca="1" si="16"/>
        <v>N</v>
      </c>
      <c r="T25" s="68" t="str">
        <f t="shared" ca="1" si="16"/>
        <v>N</v>
      </c>
      <c r="U25" s="68" t="str">
        <f t="shared" ca="1" si="16"/>
        <v>G</v>
      </c>
      <c r="V25" s="68" t="str">
        <f t="shared" ca="1" si="16"/>
        <v>P</v>
      </c>
      <c r="W25" s="68" t="str">
        <f t="shared" ca="1" si="16"/>
        <v>N</v>
      </c>
      <c r="X25" s="68" t="str">
        <f t="shared" ca="1" si="16"/>
        <v>N</v>
      </c>
      <c r="Y25" s="68" t="str">
        <f t="shared" ca="1" si="16"/>
        <v>N</v>
      </c>
      <c r="Z25" s="68" t="str">
        <f t="shared" ca="1" si="16"/>
        <v>P</v>
      </c>
      <c r="AA25" s="68" t="str">
        <f t="shared" ca="1" si="16"/>
        <v>P</v>
      </c>
      <c r="AB25" s="68" t="str">
        <f t="shared" ca="1" si="16"/>
        <v/>
      </c>
      <c r="AC25" s="68" t="str">
        <f t="shared" ca="1" si="16"/>
        <v/>
      </c>
      <c r="AD25" s="68" t="str">
        <f t="shared" ca="1" si="16"/>
        <v/>
      </c>
      <c r="AE25" s="68" t="str">
        <f t="shared" ca="1" si="16"/>
        <v/>
      </c>
      <c r="AF25" s="68" t="str">
        <f t="shared" ca="1" si="16"/>
        <v/>
      </c>
      <c r="AG25" s="68" t="str">
        <f t="shared" ca="1" si="16"/>
        <v/>
      </c>
      <c r="AH25" s="68" t="str">
        <f t="shared" ca="1" si="16"/>
        <v/>
      </c>
      <c r="AI25" s="68" t="str">
        <f t="shared" ca="1" si="16"/>
        <v/>
      </c>
      <c r="AJ25" s="68" t="str">
        <f t="shared" ca="1" si="16"/>
        <v/>
      </c>
      <c r="AK25" s="68" t="str">
        <f t="shared" ca="1" si="16"/>
        <v/>
      </c>
      <c r="AL25" s="68">
        <f t="shared" ca="1" si="5"/>
        <v>9</v>
      </c>
      <c r="AM25" s="68">
        <f t="shared" ca="1" si="6"/>
        <v>9</v>
      </c>
      <c r="AN25" s="68">
        <f t="shared" ca="1" si="7"/>
        <v>6</v>
      </c>
    </row>
    <row r="26" spans="3:40" x14ac:dyDescent="0.25">
      <c r="C26" s="59" t="str">
        <f>CONCATENATE(EQUIPES!F17)</f>
        <v>Fortuna Düsseldorf</v>
      </c>
      <c r="D26" s="68" t="str">
        <f t="shared" ref="D26:AK26" ca="1" si="17">IFERROR(VLOOKUP($C26,INDIRECT("domicile_"&amp;D14),10,0),IFERROR(VLOOKUP($C26,INDIRECT("exterieur_"&amp;D$14),8,0),""))</f>
        <v>G</v>
      </c>
      <c r="E26" s="68" t="str">
        <f t="shared" ca="1" si="17"/>
        <v>P</v>
      </c>
      <c r="F26" s="68" t="str">
        <f t="shared" ca="1" si="17"/>
        <v>P</v>
      </c>
      <c r="G26" s="68" t="str">
        <f t="shared" ca="1" si="17"/>
        <v>N</v>
      </c>
      <c r="H26" s="68" t="str">
        <f t="shared" ca="1" si="17"/>
        <v>P</v>
      </c>
      <c r="I26" s="68" t="str">
        <f t="shared" ca="1" si="17"/>
        <v>P</v>
      </c>
      <c r="J26" s="68" t="str">
        <f t="shared" ca="1" si="17"/>
        <v>P</v>
      </c>
      <c r="K26" s="68" t="str">
        <f t="shared" ca="1" si="17"/>
        <v>G</v>
      </c>
      <c r="L26" s="68" t="str">
        <f t="shared" ca="1" si="17"/>
        <v>P</v>
      </c>
      <c r="M26" s="68" t="str">
        <f t="shared" ca="1" si="17"/>
        <v>G</v>
      </c>
      <c r="N26" s="68" t="str">
        <f t="shared" ca="1" si="17"/>
        <v>N</v>
      </c>
      <c r="O26" s="68" t="str">
        <f t="shared" ca="1" si="17"/>
        <v>P</v>
      </c>
      <c r="P26" s="68" t="str">
        <f t="shared" ca="1" si="17"/>
        <v>N</v>
      </c>
      <c r="Q26" s="68" t="str">
        <f t="shared" ca="1" si="17"/>
        <v>P</v>
      </c>
      <c r="R26" s="68" t="str">
        <f t="shared" ca="1" si="17"/>
        <v>P</v>
      </c>
      <c r="S26" s="68" t="str">
        <f t="shared" ca="1" si="17"/>
        <v>P</v>
      </c>
      <c r="T26" s="68" t="str">
        <f t="shared" ca="1" si="17"/>
        <v>G</v>
      </c>
      <c r="U26" s="68" t="str">
        <f t="shared" ca="1" si="17"/>
        <v>P</v>
      </c>
      <c r="V26" s="68" t="str">
        <f t="shared" ca="1" si="17"/>
        <v>P</v>
      </c>
      <c r="W26" s="68" t="str">
        <f t="shared" ca="1" si="17"/>
        <v>N</v>
      </c>
      <c r="X26" s="68" t="str">
        <f t="shared" ca="1" si="17"/>
        <v>N</v>
      </c>
      <c r="Y26" s="68" t="str">
        <f t="shared" ca="1" si="17"/>
        <v>P</v>
      </c>
      <c r="Z26" s="68" t="str">
        <f t="shared" ca="1" si="17"/>
        <v>G</v>
      </c>
      <c r="AA26" s="68" t="str">
        <f t="shared" ca="1" si="17"/>
        <v>N</v>
      </c>
      <c r="AB26" s="68" t="str">
        <f t="shared" ca="1" si="17"/>
        <v/>
      </c>
      <c r="AC26" s="68" t="str">
        <f t="shared" ca="1" si="17"/>
        <v/>
      </c>
      <c r="AD26" s="68" t="str">
        <f t="shared" ca="1" si="17"/>
        <v/>
      </c>
      <c r="AE26" s="68" t="str">
        <f t="shared" ca="1" si="17"/>
        <v/>
      </c>
      <c r="AF26" s="68" t="str">
        <f t="shared" ca="1" si="17"/>
        <v/>
      </c>
      <c r="AG26" s="68" t="str">
        <f t="shared" ca="1" si="17"/>
        <v/>
      </c>
      <c r="AH26" s="68" t="str">
        <f t="shared" ca="1" si="17"/>
        <v/>
      </c>
      <c r="AI26" s="68" t="str">
        <f t="shared" ca="1" si="17"/>
        <v/>
      </c>
      <c r="AJ26" s="68" t="str">
        <f t="shared" ca="1" si="17"/>
        <v/>
      </c>
      <c r="AK26" s="68" t="str">
        <f t="shared" ca="1" si="17"/>
        <v/>
      </c>
      <c r="AL26" s="68">
        <f t="shared" ca="1" si="5"/>
        <v>5</v>
      </c>
      <c r="AM26" s="68">
        <f t="shared" ca="1" si="6"/>
        <v>6</v>
      </c>
      <c r="AN26" s="68">
        <f t="shared" ca="1" si="7"/>
        <v>13</v>
      </c>
    </row>
    <row r="27" spans="3:40" x14ac:dyDescent="0.25">
      <c r="C27" s="59" t="str">
        <f>CONCATENATE(EQUIPES!F18)</f>
        <v>Hertha BSC</v>
      </c>
      <c r="D27" s="68" t="str">
        <f t="shared" ref="D27:AK27" ca="1" si="18">IFERROR(VLOOKUP($C27,INDIRECT("domicile_"&amp;D14),10,0),IFERROR(VLOOKUP($C27,INDIRECT("exterieur_"&amp;D$14),8,0),""))</f>
        <v>N</v>
      </c>
      <c r="E27" s="68" t="str">
        <f t="shared" ca="1" si="18"/>
        <v>P</v>
      </c>
      <c r="F27" s="68" t="str">
        <f t="shared" ca="1" si="18"/>
        <v>P</v>
      </c>
      <c r="G27" s="68" t="str">
        <f t="shared" ca="1" si="18"/>
        <v>P</v>
      </c>
      <c r="H27" s="68" t="str">
        <f t="shared" ca="1" si="18"/>
        <v>G</v>
      </c>
      <c r="I27" s="68" t="str">
        <f t="shared" ca="1" si="18"/>
        <v>G</v>
      </c>
      <c r="J27" s="68" t="str">
        <f t="shared" ca="1" si="18"/>
        <v>G</v>
      </c>
      <c r="K27" s="68" t="str">
        <f t="shared" ca="1" si="18"/>
        <v>N</v>
      </c>
      <c r="L27" s="68" t="str">
        <f t="shared" ca="1" si="18"/>
        <v>P</v>
      </c>
      <c r="M27" s="68" t="str">
        <f t="shared" ca="1" si="18"/>
        <v>P</v>
      </c>
      <c r="N27" s="68" t="str">
        <f t="shared" ca="1" si="18"/>
        <v>P</v>
      </c>
      <c r="O27" s="68" t="str">
        <f t="shared" ca="1" si="18"/>
        <v>P</v>
      </c>
      <c r="P27" s="68" t="str">
        <f t="shared" ca="1" si="18"/>
        <v>P</v>
      </c>
      <c r="Q27" s="68" t="str">
        <f t="shared" ca="1" si="18"/>
        <v>N</v>
      </c>
      <c r="R27" s="68" t="str">
        <f t="shared" ca="1" si="18"/>
        <v>G</v>
      </c>
      <c r="S27" s="68" t="str">
        <f t="shared" ca="1" si="18"/>
        <v>G</v>
      </c>
      <c r="T27" s="68" t="str">
        <f t="shared" ca="1" si="18"/>
        <v>N</v>
      </c>
      <c r="U27" s="68" t="str">
        <f t="shared" ca="1" si="18"/>
        <v>P</v>
      </c>
      <c r="V27" s="68" t="str">
        <f t="shared" ca="1" si="18"/>
        <v>G</v>
      </c>
      <c r="W27" s="68" t="str">
        <f t="shared" ca="1" si="18"/>
        <v>N</v>
      </c>
      <c r="X27" s="68" t="str">
        <f t="shared" ca="1" si="18"/>
        <v>P</v>
      </c>
      <c r="Y27" s="68" t="str">
        <f t="shared" ca="1" si="18"/>
        <v>G</v>
      </c>
      <c r="Z27" s="68" t="str">
        <f t="shared" ca="1" si="18"/>
        <v>P</v>
      </c>
      <c r="AA27" s="68" t="str">
        <f t="shared" ca="1" si="18"/>
        <v>N</v>
      </c>
      <c r="AB27" s="68" t="str">
        <f t="shared" ca="1" si="18"/>
        <v/>
      </c>
      <c r="AC27" s="68" t="str">
        <f t="shared" ca="1" si="18"/>
        <v/>
      </c>
      <c r="AD27" s="68" t="str">
        <f t="shared" ca="1" si="18"/>
        <v/>
      </c>
      <c r="AE27" s="68" t="str">
        <f t="shared" ca="1" si="18"/>
        <v/>
      </c>
      <c r="AF27" s="68" t="str">
        <f t="shared" ca="1" si="18"/>
        <v/>
      </c>
      <c r="AG27" s="68" t="str">
        <f t="shared" ca="1" si="18"/>
        <v/>
      </c>
      <c r="AH27" s="68" t="str">
        <f t="shared" ca="1" si="18"/>
        <v/>
      </c>
      <c r="AI27" s="68" t="str">
        <f t="shared" ca="1" si="18"/>
        <v/>
      </c>
      <c r="AJ27" s="68" t="str">
        <f t="shared" ca="1" si="18"/>
        <v/>
      </c>
      <c r="AK27" s="68" t="str">
        <f t="shared" ca="1" si="18"/>
        <v/>
      </c>
      <c r="AL27" s="68">
        <f t="shared" ca="1" si="5"/>
        <v>7</v>
      </c>
      <c r="AM27" s="68">
        <f t="shared" ca="1" si="6"/>
        <v>6</v>
      </c>
      <c r="AN27" s="68">
        <f t="shared" ca="1" si="7"/>
        <v>11</v>
      </c>
    </row>
    <row r="28" spans="3:40" x14ac:dyDescent="0.25">
      <c r="C28" s="59" t="str">
        <f>CONCATENATE(EQUIPES!F19)</f>
        <v>RB Leipzig</v>
      </c>
      <c r="D28" s="68" t="str">
        <f t="shared" ref="D28:AK28" ca="1" si="19">IFERROR(VLOOKUP($C28,INDIRECT("domicile_"&amp;D14),10,0),IFERROR(VLOOKUP($C28,INDIRECT("exterieur_"&amp;D$14),8,0),""))</f>
        <v>G</v>
      </c>
      <c r="E28" s="68" t="str">
        <f t="shared" ca="1" si="19"/>
        <v>G</v>
      </c>
      <c r="F28" s="68" t="str">
        <f t="shared" ca="1" si="19"/>
        <v>G</v>
      </c>
      <c r="G28" s="68" t="str">
        <f t="shared" ca="1" si="19"/>
        <v>N</v>
      </c>
      <c r="H28" s="68" t="str">
        <f t="shared" ca="1" si="19"/>
        <v>G</v>
      </c>
      <c r="I28" s="68" t="str">
        <f t="shared" ca="1" si="19"/>
        <v>P</v>
      </c>
      <c r="J28" s="68" t="str">
        <f t="shared" ca="1" si="19"/>
        <v>N</v>
      </c>
      <c r="K28" s="68" t="str">
        <f t="shared" ca="1" si="19"/>
        <v>N</v>
      </c>
      <c r="L28" s="68" t="str">
        <f t="shared" ca="1" si="19"/>
        <v>P</v>
      </c>
      <c r="M28" s="68" t="str">
        <f t="shared" ca="1" si="19"/>
        <v>G</v>
      </c>
      <c r="N28" s="68" t="str">
        <f t="shared" ca="1" si="19"/>
        <v>G</v>
      </c>
      <c r="O28" s="68" t="str">
        <f t="shared" ca="1" si="19"/>
        <v>G</v>
      </c>
      <c r="P28" s="68" t="str">
        <f t="shared" ca="1" si="19"/>
        <v>G</v>
      </c>
      <c r="Q28" s="68" t="str">
        <f t="shared" ca="1" si="19"/>
        <v>G</v>
      </c>
      <c r="R28" s="68" t="str">
        <f t="shared" ca="1" si="19"/>
        <v>G</v>
      </c>
      <c r="S28" s="68" t="str">
        <f t="shared" ca="1" si="19"/>
        <v>N</v>
      </c>
      <c r="T28" s="68" t="str">
        <f t="shared" ca="1" si="19"/>
        <v>G</v>
      </c>
      <c r="U28" s="68" t="str">
        <f t="shared" ca="1" si="19"/>
        <v>G</v>
      </c>
      <c r="V28" s="68" t="str">
        <f t="shared" ca="1" si="19"/>
        <v>P</v>
      </c>
      <c r="W28" s="68" t="str">
        <f t="shared" ca="1" si="19"/>
        <v>N</v>
      </c>
      <c r="X28" s="68" t="str">
        <f t="shared" ca="1" si="19"/>
        <v>N</v>
      </c>
      <c r="Y28" s="68" t="str">
        <f t="shared" ca="1" si="19"/>
        <v>G</v>
      </c>
      <c r="Z28" s="68" t="str">
        <f t="shared" ca="1" si="19"/>
        <v>G</v>
      </c>
      <c r="AA28" s="68" t="str">
        <f t="shared" ca="1" si="19"/>
        <v>N</v>
      </c>
      <c r="AB28" s="68" t="str">
        <f t="shared" ca="1" si="19"/>
        <v/>
      </c>
      <c r="AC28" s="68" t="str">
        <f t="shared" ca="1" si="19"/>
        <v/>
      </c>
      <c r="AD28" s="68" t="str">
        <f t="shared" ca="1" si="19"/>
        <v/>
      </c>
      <c r="AE28" s="68" t="str">
        <f t="shared" ca="1" si="19"/>
        <v/>
      </c>
      <c r="AF28" s="68" t="str">
        <f t="shared" ca="1" si="19"/>
        <v/>
      </c>
      <c r="AG28" s="68" t="str">
        <f t="shared" ca="1" si="19"/>
        <v/>
      </c>
      <c r="AH28" s="68" t="str">
        <f t="shared" ca="1" si="19"/>
        <v/>
      </c>
      <c r="AI28" s="68" t="str">
        <f t="shared" ca="1" si="19"/>
        <v/>
      </c>
      <c r="AJ28" s="68" t="str">
        <f t="shared" ca="1" si="19"/>
        <v/>
      </c>
      <c r="AK28" s="68" t="str">
        <f t="shared" ca="1" si="19"/>
        <v/>
      </c>
      <c r="AL28" s="68">
        <f t="shared" ca="1" si="5"/>
        <v>14</v>
      </c>
      <c r="AM28" s="68">
        <f t="shared" ca="1" si="6"/>
        <v>7</v>
      </c>
      <c r="AN28" s="68">
        <f t="shared" ca="1" si="7"/>
        <v>3</v>
      </c>
    </row>
    <row r="29" spans="3:40" x14ac:dyDescent="0.25">
      <c r="C29" s="59" t="str">
        <f>CONCATENATE(EQUIPES!F20)</f>
        <v>SC Freiburg</v>
      </c>
      <c r="D29" s="68" t="str">
        <f t="shared" ref="D29:AK29" ca="1" si="20">IFERROR(VLOOKUP($C29,INDIRECT("domicile_"&amp;D14),10,0),IFERROR(VLOOKUP($C29,INDIRECT("exterieur_"&amp;D$14),8,0),""))</f>
        <v>G</v>
      </c>
      <c r="E29" s="68" t="str">
        <f t="shared" ca="1" si="20"/>
        <v>G</v>
      </c>
      <c r="F29" s="68" t="str">
        <f t="shared" ca="1" si="20"/>
        <v>P</v>
      </c>
      <c r="G29" s="68" t="str">
        <f t="shared" ca="1" si="20"/>
        <v>G</v>
      </c>
      <c r="H29" s="68" t="str">
        <f t="shared" ca="1" si="20"/>
        <v>N</v>
      </c>
      <c r="I29" s="68" t="str">
        <f t="shared" ca="1" si="20"/>
        <v>G</v>
      </c>
      <c r="J29" s="68" t="str">
        <f t="shared" ca="1" si="20"/>
        <v>N</v>
      </c>
      <c r="K29" s="68" t="str">
        <f t="shared" ca="1" si="20"/>
        <v>P</v>
      </c>
      <c r="L29" s="68" t="str">
        <f t="shared" ca="1" si="20"/>
        <v>G</v>
      </c>
      <c r="M29" s="68" t="str">
        <f t="shared" ca="1" si="20"/>
        <v>N</v>
      </c>
      <c r="N29" s="68" t="str">
        <f t="shared" ca="1" si="20"/>
        <v>G</v>
      </c>
      <c r="O29" s="68" t="str">
        <f t="shared" ca="1" si="20"/>
        <v>N</v>
      </c>
      <c r="P29" s="68" t="str">
        <f t="shared" ca="1" si="20"/>
        <v>P</v>
      </c>
      <c r="Q29" s="68" t="str">
        <f t="shared" ca="1" si="20"/>
        <v>G</v>
      </c>
      <c r="R29" s="68" t="str">
        <f t="shared" ca="1" si="20"/>
        <v>P</v>
      </c>
      <c r="S29" s="68" t="str">
        <f t="shared" ca="1" si="20"/>
        <v>P</v>
      </c>
      <c r="T29" s="68" t="str">
        <f t="shared" ca="1" si="20"/>
        <v>N</v>
      </c>
      <c r="U29" s="68" t="str">
        <f t="shared" ca="1" si="20"/>
        <v>G</v>
      </c>
      <c r="V29" s="68" t="str">
        <f t="shared" ca="1" si="20"/>
        <v>P</v>
      </c>
      <c r="W29" s="68" t="str">
        <f t="shared" ca="1" si="20"/>
        <v>P</v>
      </c>
      <c r="X29" s="68" t="str">
        <f t="shared" ca="1" si="20"/>
        <v>G</v>
      </c>
      <c r="Y29" s="68" t="str">
        <f t="shared" ca="1" si="20"/>
        <v>N</v>
      </c>
      <c r="Z29" s="68" t="str">
        <f t="shared" ca="1" si="20"/>
        <v>P</v>
      </c>
      <c r="AA29" s="68" t="str">
        <f t="shared" ca="1" si="20"/>
        <v>P</v>
      </c>
      <c r="AB29" s="68" t="str">
        <f t="shared" ca="1" si="20"/>
        <v/>
      </c>
      <c r="AC29" s="68" t="str">
        <f t="shared" ca="1" si="20"/>
        <v/>
      </c>
      <c r="AD29" s="68" t="str">
        <f t="shared" ca="1" si="20"/>
        <v/>
      </c>
      <c r="AE29" s="68" t="str">
        <f t="shared" ca="1" si="20"/>
        <v/>
      </c>
      <c r="AF29" s="68" t="str">
        <f t="shared" ca="1" si="20"/>
        <v/>
      </c>
      <c r="AG29" s="68" t="str">
        <f t="shared" ca="1" si="20"/>
        <v/>
      </c>
      <c r="AH29" s="68" t="str">
        <f t="shared" ca="1" si="20"/>
        <v/>
      </c>
      <c r="AI29" s="68" t="str">
        <f t="shared" ca="1" si="20"/>
        <v/>
      </c>
      <c r="AJ29" s="68" t="str">
        <f t="shared" ca="1" si="20"/>
        <v/>
      </c>
      <c r="AK29" s="68" t="str">
        <f t="shared" ca="1" si="20"/>
        <v/>
      </c>
      <c r="AL29" s="68">
        <f t="shared" ca="1" si="5"/>
        <v>9</v>
      </c>
      <c r="AM29" s="68">
        <f t="shared" ca="1" si="6"/>
        <v>6</v>
      </c>
      <c r="AN29" s="68">
        <f t="shared" ca="1" si="7"/>
        <v>9</v>
      </c>
    </row>
    <row r="30" spans="3:40" x14ac:dyDescent="0.25">
      <c r="C30" s="59" t="str">
        <f>CONCATENATE(EQUIPES!F21)</f>
        <v>SC Paderborn 07</v>
      </c>
      <c r="D30" s="68" t="str">
        <f t="shared" ref="D30:AK30" ca="1" si="21">IFERROR(VLOOKUP($C30,INDIRECT("domicile_"&amp;D14),10,0),IFERROR(VLOOKUP($C30,INDIRECT("exterieur_"&amp;D$14),8,0),""))</f>
        <v>P</v>
      </c>
      <c r="E30" s="68" t="str">
        <f t="shared" ca="1" si="21"/>
        <v>P</v>
      </c>
      <c r="F30" s="68" t="str">
        <f t="shared" ca="1" si="21"/>
        <v>N</v>
      </c>
      <c r="G30" s="68" t="str">
        <f t="shared" ca="1" si="21"/>
        <v>P</v>
      </c>
      <c r="H30" s="68" t="str">
        <f t="shared" ca="1" si="21"/>
        <v>P</v>
      </c>
      <c r="I30" s="68" t="str">
        <f t="shared" ca="1" si="21"/>
        <v>P</v>
      </c>
      <c r="J30" s="68" t="str">
        <f t="shared" ca="1" si="21"/>
        <v>P</v>
      </c>
      <c r="K30" s="68" t="str">
        <f t="shared" ca="1" si="21"/>
        <v>P</v>
      </c>
      <c r="L30" s="68" t="str">
        <f t="shared" ca="1" si="21"/>
        <v>G</v>
      </c>
      <c r="M30" s="68" t="str">
        <f t="shared" ca="1" si="21"/>
        <v>P</v>
      </c>
      <c r="N30" s="68" t="str">
        <f t="shared" ca="1" si="21"/>
        <v>P</v>
      </c>
      <c r="O30" s="68" t="str">
        <f t="shared" ca="1" si="21"/>
        <v>N</v>
      </c>
      <c r="P30" s="68" t="str">
        <f t="shared" ca="1" si="21"/>
        <v>P</v>
      </c>
      <c r="Q30" s="68" t="str">
        <f t="shared" ca="1" si="21"/>
        <v>G</v>
      </c>
      <c r="R30" s="68" t="str">
        <f t="shared" ca="1" si="21"/>
        <v>N</v>
      </c>
      <c r="S30" s="68" t="str">
        <f t="shared" ca="1" si="21"/>
        <v>P</v>
      </c>
      <c r="T30" s="68" t="str">
        <f t="shared" ca="1" si="21"/>
        <v>G</v>
      </c>
      <c r="U30" s="68" t="str">
        <f t="shared" ca="1" si="21"/>
        <v>P</v>
      </c>
      <c r="V30" s="68" t="str">
        <f t="shared" ca="1" si="21"/>
        <v>G</v>
      </c>
      <c r="W30" s="68" t="str">
        <f t="shared" ca="1" si="21"/>
        <v>P</v>
      </c>
      <c r="X30" s="68" t="str">
        <f t="shared" ca="1" si="21"/>
        <v>N</v>
      </c>
      <c r="Y30" s="68" t="str">
        <f t="shared" ca="1" si="21"/>
        <v>P</v>
      </c>
      <c r="Z30" s="68" t="str">
        <f t="shared" ca="1" si="21"/>
        <v>P</v>
      </c>
      <c r="AA30" s="68" t="str">
        <f t="shared" ca="1" si="21"/>
        <v>P</v>
      </c>
      <c r="AB30" s="68" t="str">
        <f t="shared" ca="1" si="21"/>
        <v/>
      </c>
      <c r="AC30" s="68" t="str">
        <f t="shared" ca="1" si="21"/>
        <v/>
      </c>
      <c r="AD30" s="68" t="str">
        <f t="shared" ca="1" si="21"/>
        <v/>
      </c>
      <c r="AE30" s="68" t="str">
        <f t="shared" ca="1" si="21"/>
        <v/>
      </c>
      <c r="AF30" s="68" t="str">
        <f t="shared" ca="1" si="21"/>
        <v/>
      </c>
      <c r="AG30" s="68" t="str">
        <f t="shared" ca="1" si="21"/>
        <v/>
      </c>
      <c r="AH30" s="68" t="str">
        <f t="shared" ca="1" si="21"/>
        <v/>
      </c>
      <c r="AI30" s="68" t="str">
        <f t="shared" ca="1" si="21"/>
        <v/>
      </c>
      <c r="AJ30" s="68" t="str">
        <f t="shared" ca="1" si="21"/>
        <v/>
      </c>
      <c r="AK30" s="68" t="str">
        <f t="shared" ca="1" si="21"/>
        <v/>
      </c>
      <c r="AL30" s="68">
        <f t="shared" ca="1" si="5"/>
        <v>4</v>
      </c>
      <c r="AM30" s="68">
        <f t="shared" ca="1" si="6"/>
        <v>4</v>
      </c>
      <c r="AN30" s="68">
        <f t="shared" ca="1" si="7"/>
        <v>16</v>
      </c>
    </row>
    <row r="31" spans="3:40" x14ac:dyDescent="0.25">
      <c r="C31" s="59" t="str">
        <f>CONCATENATE(EQUIPES!F22)</f>
        <v>VfL Wolfsburg</v>
      </c>
      <c r="D31" s="68" t="str">
        <f t="shared" ref="D31:AK31" ca="1" si="22">IFERROR(VLOOKUP($C31,INDIRECT("domicile_"&amp;D14),10,0),IFERROR(VLOOKUP($C31,INDIRECT("exterieur_"&amp;D$14),8,0),""))</f>
        <v>G</v>
      </c>
      <c r="E31" s="68" t="str">
        <f t="shared" ca="1" si="22"/>
        <v>G</v>
      </c>
      <c r="F31" s="68" t="str">
        <f t="shared" ca="1" si="22"/>
        <v>N</v>
      </c>
      <c r="G31" s="68" t="str">
        <f t="shared" ca="1" si="22"/>
        <v>N</v>
      </c>
      <c r="H31" s="68" t="str">
        <f t="shared" ca="1" si="22"/>
        <v>N</v>
      </c>
      <c r="I31" s="68" t="str">
        <f t="shared" ca="1" si="22"/>
        <v>G</v>
      </c>
      <c r="J31" s="68" t="str">
        <f t="shared" ca="1" si="22"/>
        <v>G</v>
      </c>
      <c r="K31" s="68" t="str">
        <f t="shared" ca="1" si="22"/>
        <v>N</v>
      </c>
      <c r="L31" s="68" t="str">
        <f t="shared" ca="1" si="22"/>
        <v>N</v>
      </c>
      <c r="M31" s="68" t="str">
        <f t="shared" ca="1" si="22"/>
        <v>P</v>
      </c>
      <c r="N31" s="68" t="str">
        <f t="shared" ca="1" si="22"/>
        <v>P</v>
      </c>
      <c r="O31" s="68" t="str">
        <f t="shared" ca="1" si="22"/>
        <v>G</v>
      </c>
      <c r="P31" s="68" t="str">
        <f t="shared" ca="1" si="22"/>
        <v>P</v>
      </c>
      <c r="Q31" s="68" t="str">
        <f t="shared" ca="1" si="22"/>
        <v>P</v>
      </c>
      <c r="R31" s="68" t="str">
        <f t="shared" ca="1" si="22"/>
        <v>G</v>
      </c>
      <c r="S31" s="68" t="str">
        <f t="shared" ca="1" si="22"/>
        <v>N</v>
      </c>
      <c r="T31" s="68" t="str">
        <f t="shared" ca="1" si="22"/>
        <v>P</v>
      </c>
      <c r="U31" s="68" t="str">
        <f t="shared" ca="1" si="22"/>
        <v>P</v>
      </c>
      <c r="V31" s="68" t="str">
        <f t="shared" ca="1" si="22"/>
        <v>P</v>
      </c>
      <c r="W31" s="68" t="str">
        <f t="shared" ca="1" si="22"/>
        <v>G</v>
      </c>
      <c r="X31" s="68" t="str">
        <f t="shared" ca="1" si="22"/>
        <v>N</v>
      </c>
      <c r="Y31" s="68" t="str">
        <f t="shared" ca="1" si="22"/>
        <v>G</v>
      </c>
      <c r="Z31" s="68" t="str">
        <f t="shared" ca="1" si="22"/>
        <v>G</v>
      </c>
      <c r="AA31" s="68" t="str">
        <f t="shared" ca="1" si="22"/>
        <v>N</v>
      </c>
      <c r="AB31" s="68" t="str">
        <f t="shared" ca="1" si="22"/>
        <v/>
      </c>
      <c r="AC31" s="68" t="str">
        <f t="shared" ca="1" si="22"/>
        <v/>
      </c>
      <c r="AD31" s="68" t="str">
        <f t="shared" ca="1" si="22"/>
        <v/>
      </c>
      <c r="AE31" s="68" t="str">
        <f t="shared" ca="1" si="22"/>
        <v/>
      </c>
      <c r="AF31" s="68" t="str">
        <f t="shared" ca="1" si="22"/>
        <v/>
      </c>
      <c r="AG31" s="68" t="str">
        <f t="shared" ca="1" si="22"/>
        <v/>
      </c>
      <c r="AH31" s="68" t="str">
        <f t="shared" ca="1" si="22"/>
        <v/>
      </c>
      <c r="AI31" s="68" t="str">
        <f t="shared" ca="1" si="22"/>
        <v/>
      </c>
      <c r="AJ31" s="68" t="str">
        <f t="shared" ca="1" si="22"/>
        <v/>
      </c>
      <c r="AK31" s="68" t="str">
        <f t="shared" ca="1" si="22"/>
        <v/>
      </c>
      <c r="AL31" s="68">
        <f t="shared" ca="1" si="5"/>
        <v>9</v>
      </c>
      <c r="AM31" s="68">
        <f t="shared" ca="1" si="6"/>
        <v>8</v>
      </c>
      <c r="AN31" s="68">
        <f t="shared" ca="1" si="7"/>
        <v>7</v>
      </c>
    </row>
    <row r="32" spans="3:40" x14ac:dyDescent="0.25">
      <c r="C32" s="59" t="str">
        <f>CONCATENATE(EQUIPES!F23)</f>
        <v>Werder Bremen</v>
      </c>
      <c r="D32" s="68" t="str">
        <f t="shared" ref="D32:AK32" ca="1" si="23">IFERROR(VLOOKUP($C32,INDIRECT("domicile_"&amp;D14),10,0),IFERROR(VLOOKUP($C32,INDIRECT("exterieur_"&amp;D$14),8,0),""))</f>
        <v>P</v>
      </c>
      <c r="E32" s="68" t="str">
        <f t="shared" ca="1" si="23"/>
        <v>P</v>
      </c>
      <c r="F32" s="68" t="str">
        <f t="shared" ca="1" si="23"/>
        <v>G</v>
      </c>
      <c r="G32" s="68" t="str">
        <f t="shared" ca="1" si="23"/>
        <v>G</v>
      </c>
      <c r="H32" s="68" t="str">
        <f t="shared" ca="1" si="23"/>
        <v>P</v>
      </c>
      <c r="I32" s="68" t="str">
        <f t="shared" ca="1" si="23"/>
        <v>N</v>
      </c>
      <c r="J32" s="68" t="str">
        <f t="shared" ca="1" si="23"/>
        <v>N</v>
      </c>
      <c r="K32" s="68" t="str">
        <f t="shared" ca="1" si="23"/>
        <v>N</v>
      </c>
      <c r="L32" s="68" t="str">
        <f t="shared" ca="1" si="23"/>
        <v>N</v>
      </c>
      <c r="M32" s="68" t="str">
        <f t="shared" ca="1" si="23"/>
        <v>N</v>
      </c>
      <c r="N32" s="68" t="str">
        <f t="shared" ca="1" si="23"/>
        <v>P</v>
      </c>
      <c r="O32" s="68" t="str">
        <f t="shared" ca="1" si="23"/>
        <v>P</v>
      </c>
      <c r="P32" s="68" t="str">
        <f t="shared" ca="1" si="23"/>
        <v>G</v>
      </c>
      <c r="Q32" s="68" t="str">
        <f t="shared" ca="1" si="23"/>
        <v>P</v>
      </c>
      <c r="R32" s="68" t="str">
        <f t="shared" ca="1" si="23"/>
        <v>P</v>
      </c>
      <c r="S32" s="68" t="str">
        <f t="shared" ca="1" si="23"/>
        <v>P</v>
      </c>
      <c r="T32" s="68" t="str">
        <f t="shared" ca="1" si="23"/>
        <v>P</v>
      </c>
      <c r="U32" s="68" t="str">
        <f t="shared" ca="1" si="23"/>
        <v>G</v>
      </c>
      <c r="V32" s="68" t="str">
        <f t="shared" ca="1" si="23"/>
        <v>P</v>
      </c>
      <c r="W32" s="68" t="str">
        <f t="shared" ca="1" si="23"/>
        <v>P</v>
      </c>
      <c r="X32" s="68" t="str">
        <f t="shared" ca="1" si="23"/>
        <v>P</v>
      </c>
      <c r="Y32" s="68" t="str">
        <f t="shared" ca="1" si="23"/>
        <v>P</v>
      </c>
      <c r="Z32" s="68" t="str">
        <f t="shared" ca="1" si="23"/>
        <v>P</v>
      </c>
      <c r="AA32" s="68" t="str">
        <f t="shared" ca="1" si="23"/>
        <v/>
      </c>
      <c r="AB32" s="68" t="str">
        <f t="shared" ca="1" si="23"/>
        <v/>
      </c>
      <c r="AC32" s="68" t="str">
        <f t="shared" ca="1" si="23"/>
        <v/>
      </c>
      <c r="AD32" s="68" t="str">
        <f t="shared" ca="1" si="23"/>
        <v/>
      </c>
      <c r="AE32" s="68" t="str">
        <f t="shared" ca="1" si="23"/>
        <v/>
      </c>
      <c r="AF32" s="68" t="str">
        <f t="shared" ca="1" si="23"/>
        <v/>
      </c>
      <c r="AG32" s="68" t="str">
        <f t="shared" ca="1" si="23"/>
        <v/>
      </c>
      <c r="AH32" s="68" t="str">
        <f t="shared" ca="1" si="23"/>
        <v/>
      </c>
      <c r="AI32" s="68" t="str">
        <f t="shared" ca="1" si="23"/>
        <v/>
      </c>
      <c r="AJ32" s="68" t="str">
        <f t="shared" ca="1" si="23"/>
        <v/>
      </c>
      <c r="AK32" s="68" t="str">
        <f t="shared" ca="1" si="23"/>
        <v/>
      </c>
      <c r="AL32" s="68">
        <f t="shared" ca="1" si="5"/>
        <v>4</v>
      </c>
      <c r="AM32" s="68">
        <f t="shared" ca="1" si="6"/>
        <v>5</v>
      </c>
      <c r="AN32" s="68">
        <f t="shared" ca="1" si="7"/>
        <v>14</v>
      </c>
    </row>
  </sheetData>
  <mergeCells count="1">
    <mergeCell ref="AL8:AN8"/>
  </mergeCells>
  <conditionalFormatting sqref="D15:AK32 AL8">
    <cfRule type="cellIs" dxfId="59" priority="8" operator="between">
      <formula>"P"</formula>
      <formula>"P"</formula>
    </cfRule>
    <cfRule type="cellIs" dxfId="58" priority="9" operator="between">
      <formula>"N"</formula>
      <formula>"N"</formula>
    </cfRule>
    <cfRule type="cellIs" dxfId="57" priority="10" operator="between">
      <formula>"G"</formula>
      <formula>"G"</formula>
    </cfRule>
  </conditionalFormatting>
  <conditionalFormatting sqref="D7:AK7">
    <cfRule type="cellIs" dxfId="56" priority="5" operator="between">
      <formula>"P"</formula>
      <formula>"P"</formula>
    </cfRule>
    <cfRule type="cellIs" dxfId="55" priority="6" operator="between">
      <formula>"N"</formula>
      <formula>"N"</formula>
    </cfRule>
    <cfRule type="cellIs" dxfId="54" priority="7" operator="between">
      <formula>"G"</formula>
      <formula>"G"</formula>
    </cfRule>
  </conditionalFormatting>
  <conditionalFormatting sqref="D10:AK11">
    <cfRule type="cellIs" dxfId="53" priority="2" operator="between">
      <formula>"P"</formula>
      <formula>"P"</formula>
    </cfRule>
    <cfRule type="cellIs" dxfId="52" priority="3" operator="between">
      <formula>"N"</formula>
      <formula>"N"</formula>
    </cfRule>
    <cfRule type="cellIs" dxfId="51" priority="4" operator="between">
      <formula>"G"</formula>
      <formula>"G"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5C02B14-2CA0-4628-8C04-0B5A8B2A9006}">
          <x14:formula1>
            <xm:f>EQUIPES!$F$6:$F$23</xm:f>
          </x14:formula1>
          <xm:sqref>C7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/>
  </sheetPr>
  <dimension ref="C2:AO40"/>
  <sheetViews>
    <sheetView showGridLines="0" showRowColHeaders="0" zoomScale="90" zoomScaleNormal="90" workbookViewId="0">
      <selection activeCell="E23" sqref="E23"/>
    </sheetView>
  </sheetViews>
  <sheetFormatPr baseColWidth="10" defaultColWidth="11.42578125" defaultRowHeight="15.75" x14ac:dyDescent="0.25"/>
  <cols>
    <col min="1" max="1" width="11.42578125" style="76"/>
    <col min="2" max="2" width="4.28515625" style="76" customWidth="1"/>
    <col min="3" max="3" width="11.42578125" style="76"/>
    <col min="4" max="4" width="30" style="76" customWidth="1"/>
    <col min="5" max="38" width="5.7109375" style="76" customWidth="1"/>
    <col min="39" max="41" width="7.140625" style="76" customWidth="1"/>
    <col min="42" max="16384" width="11.42578125" style="76"/>
  </cols>
  <sheetData>
    <row r="2" spans="3:41" x14ac:dyDescent="0.25">
      <c r="D2" s="67"/>
      <c r="E2" s="87">
        <v>1</v>
      </c>
      <c r="F2" s="87">
        <v>2</v>
      </c>
      <c r="G2" s="87">
        <v>3</v>
      </c>
      <c r="H2" s="87">
        <v>4</v>
      </c>
      <c r="I2" s="87">
        <v>5</v>
      </c>
      <c r="J2" s="87">
        <v>6</v>
      </c>
      <c r="K2" s="87">
        <v>7</v>
      </c>
      <c r="L2" s="87">
        <v>8</v>
      </c>
      <c r="M2" s="87">
        <v>9</v>
      </c>
      <c r="N2" s="87">
        <v>10</v>
      </c>
      <c r="O2" s="87">
        <v>11</v>
      </c>
      <c r="P2" s="87">
        <v>12</v>
      </c>
      <c r="Q2" s="87">
        <v>13</v>
      </c>
      <c r="R2" s="87">
        <v>14</v>
      </c>
      <c r="S2" s="87">
        <v>15</v>
      </c>
      <c r="T2" s="87">
        <v>16</v>
      </c>
      <c r="U2" s="87">
        <v>17</v>
      </c>
      <c r="V2" s="87">
        <v>18</v>
      </c>
      <c r="W2" s="87">
        <v>19</v>
      </c>
      <c r="X2" s="87">
        <v>20</v>
      </c>
      <c r="Y2" s="87">
        <v>21</v>
      </c>
      <c r="Z2" s="87">
        <v>22</v>
      </c>
      <c r="AA2" s="87">
        <v>23</v>
      </c>
      <c r="AB2" s="87">
        <v>24</v>
      </c>
      <c r="AC2" s="87">
        <v>25</v>
      </c>
      <c r="AD2" s="87">
        <v>26</v>
      </c>
      <c r="AE2" s="87">
        <v>27</v>
      </c>
      <c r="AF2" s="87">
        <v>28</v>
      </c>
      <c r="AG2" s="87">
        <v>29</v>
      </c>
      <c r="AH2" s="87">
        <v>30</v>
      </c>
      <c r="AI2" s="87">
        <v>31</v>
      </c>
      <c r="AJ2" s="87">
        <v>32</v>
      </c>
      <c r="AK2" s="87">
        <v>33</v>
      </c>
      <c r="AL2" s="88">
        <v>34</v>
      </c>
      <c r="AM2" s="82" t="s">
        <v>3</v>
      </c>
      <c r="AN2" s="83" t="s">
        <v>4</v>
      </c>
      <c r="AO2" s="84" t="s">
        <v>5</v>
      </c>
    </row>
    <row r="3" spans="3:41" x14ac:dyDescent="0.25">
      <c r="C3" s="167" t="s">
        <v>164</v>
      </c>
      <c r="D3" s="89" t="s">
        <v>161</v>
      </c>
      <c r="E3" s="90" t="str">
        <f ca="1">IFERROR(VLOOKUP($D3,INDIRECT("domicile_"&amp;E$2),10,0),"")</f>
        <v/>
      </c>
      <c r="F3" s="90" t="str">
        <f t="shared" ref="F3:AL10" ca="1" si="0">IFERROR(VLOOKUP($D3,INDIRECT("domicile_"&amp;F$2),10,0),"")</f>
        <v>P</v>
      </c>
      <c r="G3" s="90" t="str">
        <f t="shared" ca="1" si="0"/>
        <v/>
      </c>
      <c r="H3" s="90" t="str">
        <f t="shared" ca="1" si="0"/>
        <v>P</v>
      </c>
      <c r="I3" s="90" t="str">
        <f t="shared" ca="1" si="0"/>
        <v/>
      </c>
      <c r="J3" s="90" t="str">
        <f t="shared" ca="1" si="0"/>
        <v>P</v>
      </c>
      <c r="K3" s="90" t="str">
        <f t="shared" ca="1" si="0"/>
        <v/>
      </c>
      <c r="L3" s="90" t="str">
        <f t="shared" ca="1" si="0"/>
        <v>G</v>
      </c>
      <c r="M3" s="90" t="str">
        <f t="shared" ca="1" si="0"/>
        <v/>
      </c>
      <c r="N3" s="90" t="str">
        <f t="shared" ca="1" si="0"/>
        <v/>
      </c>
      <c r="O3" s="90" t="str">
        <f t="shared" ca="1" si="0"/>
        <v>P</v>
      </c>
      <c r="P3" s="90" t="str">
        <f t="shared" ca="1" si="0"/>
        <v/>
      </c>
      <c r="Q3" s="90" t="str">
        <f t="shared" ca="1" si="0"/>
        <v>N</v>
      </c>
      <c r="R3" s="90" t="str">
        <f t="shared" ca="1" si="0"/>
        <v/>
      </c>
      <c r="S3" s="90" t="str">
        <f t="shared" ca="1" si="0"/>
        <v>G</v>
      </c>
      <c r="T3" s="90" t="str">
        <f t="shared" ca="1" si="0"/>
        <v/>
      </c>
      <c r="U3" s="90" t="str">
        <f t="shared" ca="1" si="0"/>
        <v>G</v>
      </c>
      <c r="V3" s="90" t="str">
        <f t="shared" ca="1" si="0"/>
        <v>G</v>
      </c>
      <c r="W3" s="90" t="str">
        <f t="shared" ca="1" si="0"/>
        <v/>
      </c>
      <c r="X3" s="90" t="str">
        <f t="shared" ca="1" si="0"/>
        <v>G</v>
      </c>
      <c r="Y3" s="90" t="str">
        <f t="shared" ca="1" si="0"/>
        <v/>
      </c>
      <c r="Z3" s="90" t="str">
        <f t="shared" ca="1" si="0"/>
        <v>P</v>
      </c>
      <c r="AA3" s="90" t="str">
        <f t="shared" ca="1" si="0"/>
        <v/>
      </c>
      <c r="AB3" s="90" t="str">
        <f t="shared" ca="1" si="0"/>
        <v>G</v>
      </c>
      <c r="AC3" s="90" t="str">
        <f t="shared" ca="1" si="0"/>
        <v/>
      </c>
      <c r="AD3" s="90" t="str">
        <f t="shared" ca="1" si="0"/>
        <v/>
      </c>
      <c r="AE3" s="90" t="str">
        <f t="shared" ca="1" si="0"/>
        <v/>
      </c>
      <c r="AF3" s="90" t="str">
        <f t="shared" ca="1" si="0"/>
        <v/>
      </c>
      <c r="AG3" s="90" t="str">
        <f t="shared" ca="1" si="0"/>
        <v/>
      </c>
      <c r="AH3" s="90" t="str">
        <f t="shared" ca="1" si="0"/>
        <v/>
      </c>
      <c r="AI3" s="90" t="str">
        <f t="shared" ca="1" si="0"/>
        <v/>
      </c>
      <c r="AJ3" s="90" t="str">
        <f t="shared" ca="1" si="0"/>
        <v/>
      </c>
      <c r="AK3" s="90" t="str">
        <f t="shared" ca="1" si="0"/>
        <v/>
      </c>
      <c r="AL3" s="90" t="str">
        <f t="shared" ca="1" si="0"/>
        <v/>
      </c>
      <c r="AM3" s="68">
        <f ca="1">COUNTIF($E3:$AL3,"G")</f>
        <v>6</v>
      </c>
      <c r="AN3" s="68">
        <f ca="1">COUNTIF($E3:$AL3,"N")</f>
        <v>1</v>
      </c>
      <c r="AO3" s="68">
        <f ca="1">COUNTIF($E3:$AL3,"P")</f>
        <v>5</v>
      </c>
    </row>
    <row r="4" spans="3:41" x14ac:dyDescent="0.25">
      <c r="C4" s="167"/>
      <c r="D4" s="89" t="s">
        <v>162</v>
      </c>
      <c r="E4" s="90" t="str">
        <f t="shared" ref="E4:T20" ca="1" si="1">IFERROR(VLOOKUP($D4,INDIRECT("domicile_"&amp;E$2),10,0),"")</f>
        <v>P</v>
      </c>
      <c r="F4" s="90" t="str">
        <f t="shared" ca="1" si="0"/>
        <v/>
      </c>
      <c r="G4" s="90" t="str">
        <f t="shared" ca="1" si="0"/>
        <v>G</v>
      </c>
      <c r="H4" s="90" t="str">
        <f t="shared" ca="1" si="0"/>
        <v>P</v>
      </c>
      <c r="I4" s="90" t="str">
        <f t="shared" ca="1" si="0"/>
        <v/>
      </c>
      <c r="J4" s="90" t="str">
        <f t="shared" ca="1" si="0"/>
        <v>P</v>
      </c>
      <c r="K4" s="90" t="str">
        <f t="shared" ca="1" si="0"/>
        <v/>
      </c>
      <c r="L4" s="90" t="str">
        <f t="shared" ca="1" si="0"/>
        <v>G</v>
      </c>
      <c r="M4" s="90" t="str">
        <f t="shared" ca="1" si="0"/>
        <v/>
      </c>
      <c r="N4" s="90" t="str">
        <f t="shared" ca="1" si="0"/>
        <v>G</v>
      </c>
      <c r="O4" s="90" t="str">
        <f t="shared" ca="1" si="0"/>
        <v/>
      </c>
      <c r="P4" s="90" t="str">
        <f t="shared" ca="1" si="0"/>
        <v>G</v>
      </c>
      <c r="Q4" s="90" t="str">
        <f t="shared" ca="1" si="0"/>
        <v/>
      </c>
      <c r="R4" s="90" t="str">
        <f t="shared" ca="1" si="0"/>
        <v>G</v>
      </c>
      <c r="S4" s="90" t="str">
        <f t="shared" ca="1" si="0"/>
        <v/>
      </c>
      <c r="T4" s="90" t="str">
        <f t="shared" ca="1" si="0"/>
        <v>P</v>
      </c>
      <c r="U4" s="90" t="str">
        <f t="shared" ca="1" si="0"/>
        <v/>
      </c>
      <c r="V4" s="90" t="str">
        <f t="shared" ca="1" si="0"/>
        <v/>
      </c>
      <c r="W4" s="90" t="str">
        <f t="shared" ca="1" si="0"/>
        <v>G</v>
      </c>
      <c r="X4" s="90" t="str">
        <f t="shared" ca="1" si="0"/>
        <v/>
      </c>
      <c r="Y4" s="90" t="str">
        <f t="shared" ca="1" si="0"/>
        <v/>
      </c>
      <c r="Z4" s="90" t="str">
        <f t="shared" ca="1" si="0"/>
        <v>P</v>
      </c>
      <c r="AA4" s="90" t="str">
        <f t="shared" ca="1" si="0"/>
        <v/>
      </c>
      <c r="AB4" s="90" t="str">
        <f t="shared" ca="1" si="0"/>
        <v>N</v>
      </c>
      <c r="AC4" s="90" t="str">
        <f t="shared" ca="1" si="0"/>
        <v/>
      </c>
      <c r="AD4" s="90" t="str">
        <f t="shared" ca="1" si="0"/>
        <v/>
      </c>
      <c r="AE4" s="90" t="str">
        <f t="shared" ca="1" si="0"/>
        <v/>
      </c>
      <c r="AF4" s="90" t="str">
        <f t="shared" ca="1" si="0"/>
        <v/>
      </c>
      <c r="AG4" s="90" t="str">
        <f t="shared" ca="1" si="0"/>
        <v/>
      </c>
      <c r="AH4" s="90" t="str">
        <f t="shared" ca="1" si="0"/>
        <v/>
      </c>
      <c r="AI4" s="90" t="str">
        <f t="shared" ca="1" si="0"/>
        <v/>
      </c>
      <c r="AJ4" s="90" t="str">
        <f t="shared" ca="1" si="0"/>
        <v/>
      </c>
      <c r="AK4" s="90" t="str">
        <f t="shared" ca="1" si="0"/>
        <v/>
      </c>
      <c r="AL4" s="90" t="str">
        <f t="shared" ca="1" si="0"/>
        <v/>
      </c>
      <c r="AM4" s="68">
        <f t="shared" ref="AM4:AM20" ca="1" si="2">COUNTIF($E4:$AL4,"G")</f>
        <v>6</v>
      </c>
      <c r="AN4" s="68">
        <f t="shared" ref="AN4:AN20" ca="1" si="3">COUNTIF($E4:$AL4,"N")</f>
        <v>1</v>
      </c>
      <c r="AO4" s="68">
        <f t="shared" ref="AO4:AO20" ca="1" si="4">COUNTIF($E4:$AL4,"P")</f>
        <v>5</v>
      </c>
    </row>
    <row r="5" spans="3:41" x14ac:dyDescent="0.25">
      <c r="C5" s="167"/>
      <c r="D5" s="89" t="s">
        <v>90</v>
      </c>
      <c r="E5" s="90" t="str">
        <f t="shared" ca="1" si="1"/>
        <v/>
      </c>
      <c r="F5" s="90" t="str">
        <f t="shared" ca="1" si="0"/>
        <v>P</v>
      </c>
      <c r="G5" s="90" t="str">
        <f t="shared" ca="1" si="0"/>
        <v/>
      </c>
      <c r="H5" s="90" t="str">
        <f t="shared" ca="1" si="0"/>
        <v>G</v>
      </c>
      <c r="I5" s="90" t="str">
        <f t="shared" ca="1" si="0"/>
        <v/>
      </c>
      <c r="J5" s="90" t="str">
        <f t="shared" ca="1" si="0"/>
        <v>P</v>
      </c>
      <c r="K5" s="90" t="str">
        <f t="shared" ca="1" si="0"/>
        <v/>
      </c>
      <c r="L5" s="90" t="str">
        <f t="shared" ca="1" si="0"/>
        <v/>
      </c>
      <c r="M5" s="90" t="str">
        <f t="shared" ca="1" si="0"/>
        <v>G</v>
      </c>
      <c r="N5" s="90" t="str">
        <f t="shared" ca="1" si="0"/>
        <v/>
      </c>
      <c r="O5" s="90" t="str">
        <f t="shared" ca="1" si="0"/>
        <v>P</v>
      </c>
      <c r="P5" s="90" t="str">
        <f t="shared" ca="1" si="0"/>
        <v/>
      </c>
      <c r="Q5" s="90" t="str">
        <f t="shared" ca="1" si="0"/>
        <v>G</v>
      </c>
      <c r="R5" s="90" t="str">
        <f t="shared" ca="1" si="0"/>
        <v/>
      </c>
      <c r="S5" s="90" t="str">
        <f t="shared" ca="1" si="0"/>
        <v>P</v>
      </c>
      <c r="T5" s="90" t="str">
        <f t="shared" ca="1" si="0"/>
        <v/>
      </c>
      <c r="U5" s="90" t="str">
        <f t="shared" ca="1" si="0"/>
        <v>P</v>
      </c>
      <c r="V5" s="90" t="str">
        <f t="shared" ca="1" si="0"/>
        <v>P</v>
      </c>
      <c r="W5" s="90" t="str">
        <f t="shared" ca="1" si="0"/>
        <v/>
      </c>
      <c r="X5" s="90" t="str">
        <f t="shared" ca="1" si="0"/>
        <v>P</v>
      </c>
      <c r="Y5" s="90" t="str">
        <f t="shared" ca="1" si="0"/>
        <v/>
      </c>
      <c r="Z5" s="90" t="str">
        <f t="shared" ca="1" si="0"/>
        <v>N</v>
      </c>
      <c r="AA5" s="90" t="str">
        <f t="shared" ca="1" si="0"/>
        <v/>
      </c>
      <c r="AB5" s="90" t="str">
        <f t="shared" ca="1" si="0"/>
        <v>G</v>
      </c>
      <c r="AC5" s="90" t="str">
        <f t="shared" ca="1" si="0"/>
        <v/>
      </c>
      <c r="AD5" s="90" t="str">
        <f t="shared" ca="1" si="0"/>
        <v/>
      </c>
      <c r="AE5" s="90" t="str">
        <f t="shared" ca="1" si="0"/>
        <v/>
      </c>
      <c r="AF5" s="90" t="str">
        <f t="shared" ca="1" si="0"/>
        <v/>
      </c>
      <c r="AG5" s="90" t="str">
        <f t="shared" ca="1" si="0"/>
        <v/>
      </c>
      <c r="AH5" s="90" t="str">
        <f t="shared" ca="1" si="0"/>
        <v/>
      </c>
      <c r="AI5" s="90" t="str">
        <f t="shared" ca="1" si="0"/>
        <v/>
      </c>
      <c r="AJ5" s="90" t="str">
        <f t="shared" ca="1" si="0"/>
        <v/>
      </c>
      <c r="AK5" s="90" t="str">
        <f t="shared" ca="1" si="0"/>
        <v/>
      </c>
      <c r="AL5" s="90" t="str">
        <f t="shared" ca="1" si="0"/>
        <v/>
      </c>
      <c r="AM5" s="68">
        <f t="shared" ca="1" si="2"/>
        <v>4</v>
      </c>
      <c r="AN5" s="68">
        <f t="shared" ca="1" si="3"/>
        <v>1</v>
      </c>
      <c r="AO5" s="68">
        <f t="shared" ca="1" si="4"/>
        <v>7</v>
      </c>
    </row>
    <row r="6" spans="3:41" x14ac:dyDescent="0.25">
      <c r="C6" s="167"/>
      <c r="D6" s="89" t="s">
        <v>86</v>
      </c>
      <c r="E6" s="90" t="str">
        <f t="shared" ca="1" si="1"/>
        <v/>
      </c>
      <c r="F6" s="90" t="str">
        <f t="shared" ca="1" si="0"/>
        <v>G</v>
      </c>
      <c r="G6" s="90" t="str">
        <f t="shared" ca="1" si="0"/>
        <v/>
      </c>
      <c r="H6" s="90" t="str">
        <f t="shared" ca="1" si="0"/>
        <v>P</v>
      </c>
      <c r="I6" s="90" t="str">
        <f t="shared" ca="1" si="0"/>
        <v/>
      </c>
      <c r="J6" s="90" t="str">
        <f t="shared" ca="1" si="0"/>
        <v>P</v>
      </c>
      <c r="K6" s="90" t="str">
        <f t="shared" ca="1" si="0"/>
        <v/>
      </c>
      <c r="L6" s="90" t="str">
        <f t="shared" ca="1" si="0"/>
        <v>G</v>
      </c>
      <c r="M6" s="90" t="str">
        <f t="shared" ca="1" si="0"/>
        <v/>
      </c>
      <c r="N6" s="90" t="str">
        <f t="shared" ca="1" si="0"/>
        <v>G</v>
      </c>
      <c r="O6" s="90" t="str">
        <f t="shared" ca="1" si="0"/>
        <v/>
      </c>
      <c r="P6" s="90" t="str">
        <f t="shared" ca="1" si="0"/>
        <v>P</v>
      </c>
      <c r="Q6" s="90" t="str">
        <f t="shared" ca="1" si="0"/>
        <v>N</v>
      </c>
      <c r="R6" s="90" t="str">
        <f t="shared" ca="1" si="0"/>
        <v/>
      </c>
      <c r="S6" s="90" t="str">
        <f t="shared" ca="1" si="0"/>
        <v>P</v>
      </c>
      <c r="T6" s="90" t="str">
        <f t="shared" ca="1" si="0"/>
        <v/>
      </c>
      <c r="U6" s="90" t="str">
        <f t="shared" ca="1" si="0"/>
        <v>G</v>
      </c>
      <c r="V6" s="90" t="str">
        <f t="shared" ca="1" si="0"/>
        <v>P</v>
      </c>
      <c r="W6" s="90" t="str">
        <f t="shared" ca="1" si="0"/>
        <v/>
      </c>
      <c r="X6" s="90" t="str">
        <f t="shared" ca="1" si="0"/>
        <v>G</v>
      </c>
      <c r="Y6" s="90" t="str">
        <f t="shared" ca="1" si="0"/>
        <v/>
      </c>
      <c r="Z6" s="90" t="str">
        <f t="shared" ca="1" si="0"/>
        <v>P</v>
      </c>
      <c r="AA6" s="90" t="str">
        <f t="shared" ca="1" si="0"/>
        <v/>
      </c>
      <c r="AB6" s="90" t="str">
        <f t="shared" ca="1" si="0"/>
        <v>P</v>
      </c>
      <c r="AC6" s="90" t="str">
        <f t="shared" ca="1" si="0"/>
        <v/>
      </c>
      <c r="AD6" s="90" t="str">
        <f t="shared" ca="1" si="0"/>
        <v/>
      </c>
      <c r="AE6" s="90" t="str">
        <f t="shared" ca="1" si="0"/>
        <v/>
      </c>
      <c r="AF6" s="90" t="str">
        <f t="shared" ca="1" si="0"/>
        <v/>
      </c>
      <c r="AG6" s="90" t="str">
        <f t="shared" ca="1" si="0"/>
        <v/>
      </c>
      <c r="AH6" s="90" t="str">
        <f t="shared" ca="1" si="0"/>
        <v/>
      </c>
      <c r="AI6" s="90" t="str">
        <f t="shared" ca="1" si="0"/>
        <v/>
      </c>
      <c r="AJ6" s="90" t="str">
        <f t="shared" ca="1" si="0"/>
        <v/>
      </c>
      <c r="AK6" s="90" t="str">
        <f t="shared" ca="1" si="0"/>
        <v/>
      </c>
      <c r="AL6" s="90" t="str">
        <f t="shared" ca="1" si="0"/>
        <v/>
      </c>
      <c r="AM6" s="68">
        <f t="shared" ca="1" si="2"/>
        <v>5</v>
      </c>
      <c r="AN6" s="68">
        <f t="shared" ca="1" si="3"/>
        <v>1</v>
      </c>
      <c r="AO6" s="68">
        <f t="shared" ca="1" si="4"/>
        <v>7</v>
      </c>
    </row>
    <row r="7" spans="3:41" x14ac:dyDescent="0.25">
      <c r="C7" s="167"/>
      <c r="D7" s="89" t="s">
        <v>83</v>
      </c>
      <c r="E7" s="90" t="str">
        <f t="shared" ca="1" si="1"/>
        <v>G</v>
      </c>
      <c r="F7" s="90" t="str">
        <f t="shared" ca="1" si="0"/>
        <v/>
      </c>
      <c r="G7" s="90" t="str">
        <f t="shared" ca="1" si="0"/>
        <v>N</v>
      </c>
      <c r="H7" s="90" t="str">
        <f t="shared" ca="1" si="0"/>
        <v/>
      </c>
      <c r="I7" s="90" t="str">
        <f t="shared" ca="1" si="0"/>
        <v>G</v>
      </c>
      <c r="J7" s="90" t="str">
        <f t="shared" ca="1" si="0"/>
        <v/>
      </c>
      <c r="K7" s="90" t="str">
        <f t="shared" ca="1" si="0"/>
        <v>N</v>
      </c>
      <c r="L7" s="90" t="str">
        <f t="shared" ca="1" si="0"/>
        <v/>
      </c>
      <c r="M7" s="90" t="str">
        <f t="shared" ca="1" si="0"/>
        <v>N</v>
      </c>
      <c r="N7" s="90" t="str">
        <f t="shared" ca="1" si="0"/>
        <v>P</v>
      </c>
      <c r="O7" s="90" t="str">
        <f t="shared" ca="1" si="0"/>
        <v/>
      </c>
      <c r="P7" s="90" t="str">
        <f t="shared" ca="1" si="0"/>
        <v>N</v>
      </c>
      <c r="Q7" s="90" t="str">
        <f t="shared" ca="1" si="0"/>
        <v/>
      </c>
      <c r="R7" s="90" t="str">
        <f t="shared" ca="1" si="0"/>
        <v>G</v>
      </c>
      <c r="S7" s="90" t="str">
        <f t="shared" ca="1" si="0"/>
        <v/>
      </c>
      <c r="T7" s="90" t="str">
        <f t="shared" ca="1" si="0"/>
        <v>P</v>
      </c>
      <c r="U7" s="90" t="str">
        <f t="shared" ca="1" si="0"/>
        <v/>
      </c>
      <c r="V7" s="90" t="str">
        <f t="shared" ca="1" si="0"/>
        <v/>
      </c>
      <c r="W7" s="90" t="str">
        <f t="shared" ca="1" si="0"/>
        <v>G</v>
      </c>
      <c r="X7" s="90" t="str">
        <f t="shared" ca="1" si="0"/>
        <v/>
      </c>
      <c r="Y7" s="90" t="str">
        <f t="shared" ca="1" si="0"/>
        <v>G</v>
      </c>
      <c r="Z7" s="90" t="str">
        <f t="shared" ca="1" si="0"/>
        <v/>
      </c>
      <c r="AA7" s="90" t="str">
        <f t="shared" ca="1" si="0"/>
        <v>G</v>
      </c>
      <c r="AB7" s="90" t="str">
        <f t="shared" ca="1" si="0"/>
        <v/>
      </c>
      <c r="AC7" s="90" t="str">
        <f t="shared" ca="1" si="0"/>
        <v/>
      </c>
      <c r="AD7" s="90" t="str">
        <f t="shared" ca="1" si="0"/>
        <v/>
      </c>
      <c r="AE7" s="90" t="str">
        <f t="shared" ca="1" si="0"/>
        <v/>
      </c>
      <c r="AF7" s="90" t="str">
        <f t="shared" ca="1" si="0"/>
        <v/>
      </c>
      <c r="AG7" s="90" t="str">
        <f t="shared" ca="1" si="0"/>
        <v/>
      </c>
      <c r="AH7" s="90" t="str">
        <f t="shared" ca="1" si="0"/>
        <v/>
      </c>
      <c r="AI7" s="90" t="str">
        <f t="shared" ca="1" si="0"/>
        <v/>
      </c>
      <c r="AJ7" s="90" t="str">
        <f t="shared" ca="1" si="0"/>
        <v/>
      </c>
      <c r="AK7" s="90" t="str">
        <f t="shared" ca="1" si="0"/>
        <v/>
      </c>
      <c r="AL7" s="90" t="str">
        <f t="shared" ca="1" si="0"/>
        <v/>
      </c>
      <c r="AM7" s="68">
        <f t="shared" ca="1" si="2"/>
        <v>6</v>
      </c>
      <c r="AN7" s="68">
        <f t="shared" ca="1" si="3"/>
        <v>4</v>
      </c>
      <c r="AO7" s="68">
        <f t="shared" ca="1" si="4"/>
        <v>2</v>
      </c>
    </row>
    <row r="8" spans="3:41" x14ac:dyDescent="0.25">
      <c r="C8" s="167"/>
      <c r="D8" s="89" t="s">
        <v>79</v>
      </c>
      <c r="E8" s="90" t="str">
        <f t="shared" ca="1" si="1"/>
        <v>N</v>
      </c>
      <c r="F8" s="90" t="str">
        <f t="shared" ca="1" si="0"/>
        <v/>
      </c>
      <c r="G8" s="90" t="str">
        <f t="shared" ca="1" si="0"/>
        <v>G</v>
      </c>
      <c r="H8" s="90" t="str">
        <f t="shared" ca="1" si="0"/>
        <v/>
      </c>
      <c r="I8" s="90" t="str">
        <f t="shared" ca="1" si="0"/>
        <v>G</v>
      </c>
      <c r="J8" s="90" t="str">
        <f t="shared" ca="1" si="0"/>
        <v/>
      </c>
      <c r="K8" s="90" t="str">
        <f t="shared" ca="1" si="0"/>
        <v>P</v>
      </c>
      <c r="L8" s="90" t="str">
        <f t="shared" ca="1" si="0"/>
        <v/>
      </c>
      <c r="M8" s="90" t="str">
        <f t="shared" ca="1" si="0"/>
        <v>G</v>
      </c>
      <c r="N8" s="90" t="str">
        <f t="shared" ca="1" si="0"/>
        <v/>
      </c>
      <c r="O8" s="90" t="str">
        <f t="shared" ca="1" si="0"/>
        <v>G</v>
      </c>
      <c r="P8" s="90" t="str">
        <f t="shared" ca="1" si="0"/>
        <v/>
      </c>
      <c r="Q8" s="90" t="str">
        <f t="shared" ca="1" si="0"/>
        <v>P</v>
      </c>
      <c r="R8" s="90" t="str">
        <f t="shared" ca="1" si="0"/>
        <v/>
      </c>
      <c r="S8" s="90" t="str">
        <f t="shared" ca="1" si="0"/>
        <v>G</v>
      </c>
      <c r="T8" s="90" t="str">
        <f t="shared" ca="1" si="0"/>
        <v/>
      </c>
      <c r="U8" s="90" t="str">
        <f t="shared" ca="1" si="0"/>
        <v>G</v>
      </c>
      <c r="V8" s="90" t="str">
        <f t="shared" ca="1" si="0"/>
        <v/>
      </c>
      <c r="W8" s="90" t="str">
        <f t="shared" ca="1" si="0"/>
        <v>G</v>
      </c>
      <c r="X8" s="90" t="str">
        <f t="shared" ca="1" si="0"/>
        <v/>
      </c>
      <c r="Y8" s="90" t="str">
        <f t="shared" ca="1" si="0"/>
        <v>N</v>
      </c>
      <c r="Z8" s="90" t="str">
        <f t="shared" ca="1" si="0"/>
        <v/>
      </c>
      <c r="AA8" s="90" t="str">
        <f t="shared" ca="1" si="0"/>
        <v>G</v>
      </c>
      <c r="AB8" s="90" t="str">
        <f t="shared" ca="1" si="0"/>
        <v/>
      </c>
      <c r="AC8" s="90" t="str">
        <f t="shared" ca="1" si="0"/>
        <v/>
      </c>
      <c r="AD8" s="90" t="str">
        <f t="shared" ca="1" si="0"/>
        <v/>
      </c>
      <c r="AE8" s="90" t="str">
        <f t="shared" ca="1" si="0"/>
        <v/>
      </c>
      <c r="AF8" s="90" t="str">
        <f t="shared" ca="1" si="0"/>
        <v/>
      </c>
      <c r="AG8" s="90" t="str">
        <f t="shared" ca="1" si="0"/>
        <v/>
      </c>
      <c r="AH8" s="90" t="str">
        <f t="shared" ca="1" si="0"/>
        <v/>
      </c>
      <c r="AI8" s="90" t="str">
        <f t="shared" ca="1" si="0"/>
        <v/>
      </c>
      <c r="AJ8" s="90" t="str">
        <f t="shared" ca="1" si="0"/>
        <v/>
      </c>
      <c r="AK8" s="90" t="str">
        <f t="shared" ca="1" si="0"/>
        <v/>
      </c>
      <c r="AL8" s="90" t="str">
        <f t="shared" ca="1" si="0"/>
        <v/>
      </c>
      <c r="AM8" s="68">
        <f t="shared" ca="1" si="2"/>
        <v>8</v>
      </c>
      <c r="AN8" s="68">
        <f t="shared" ca="1" si="3"/>
        <v>2</v>
      </c>
      <c r="AO8" s="68">
        <f t="shared" ca="1" si="4"/>
        <v>2</v>
      </c>
    </row>
    <row r="9" spans="3:41" x14ac:dyDescent="0.25">
      <c r="C9" s="167"/>
      <c r="D9" s="89" t="s">
        <v>82</v>
      </c>
      <c r="E9" s="90" t="str">
        <f t="shared" ca="1" si="1"/>
        <v>N</v>
      </c>
      <c r="F9" s="90" t="str">
        <f t="shared" ca="1" si="0"/>
        <v/>
      </c>
      <c r="G9" s="90" t="str">
        <f t="shared" ca="1" si="0"/>
        <v>P</v>
      </c>
      <c r="H9" s="90" t="str">
        <f t="shared" ca="1" si="0"/>
        <v/>
      </c>
      <c r="I9" s="90" t="str">
        <f t="shared" ca="1" si="0"/>
        <v>G</v>
      </c>
      <c r="J9" s="90" t="str">
        <f t="shared" ca="1" si="0"/>
        <v/>
      </c>
      <c r="K9" s="90" t="str">
        <f t="shared" ca="1" si="0"/>
        <v>G</v>
      </c>
      <c r="L9" s="90" t="str">
        <f t="shared" ca="1" si="0"/>
        <v/>
      </c>
      <c r="M9" s="90" t="str">
        <f t="shared" ca="1" si="0"/>
        <v>G</v>
      </c>
      <c r="N9" s="90" t="str">
        <f t="shared" ca="1" si="0"/>
        <v/>
      </c>
      <c r="O9" s="90" t="str">
        <f t="shared" ca="1" si="0"/>
        <v>G</v>
      </c>
      <c r="P9" s="90" t="str">
        <f t="shared" ca="1" si="0"/>
        <v/>
      </c>
      <c r="Q9" s="90" t="str">
        <f t="shared" ca="1" si="0"/>
        <v>G</v>
      </c>
      <c r="R9" s="90" t="str">
        <f t="shared" ca="1" si="0"/>
        <v>G</v>
      </c>
      <c r="S9" s="90" t="str">
        <f t="shared" ca="1" si="0"/>
        <v/>
      </c>
      <c r="T9" s="90" t="str">
        <f t="shared" ca="1" si="0"/>
        <v>G</v>
      </c>
      <c r="U9" s="90" t="str">
        <f t="shared" ca="1" si="0"/>
        <v/>
      </c>
      <c r="V9" s="90" t="str">
        <f t="shared" ca="1" si="0"/>
        <v/>
      </c>
      <c r="W9" s="90" t="str">
        <f t="shared" ca="1" si="0"/>
        <v>G</v>
      </c>
      <c r="X9" s="90" t="str">
        <f t="shared" ca="1" si="0"/>
        <v/>
      </c>
      <c r="Y9" s="90" t="str">
        <f t="shared" ca="1" si="0"/>
        <v/>
      </c>
      <c r="Z9" s="90" t="str">
        <f t="shared" ca="1" si="0"/>
        <v/>
      </c>
      <c r="AA9" s="90" t="str">
        <f t="shared" ca="1" si="0"/>
        <v>N</v>
      </c>
      <c r="AB9" s="90" t="str">
        <f t="shared" ca="1" si="0"/>
        <v/>
      </c>
      <c r="AC9" s="90" t="str">
        <f t="shared" ca="1" si="0"/>
        <v/>
      </c>
      <c r="AD9" s="90" t="str">
        <f t="shared" ca="1" si="0"/>
        <v/>
      </c>
      <c r="AE9" s="90" t="str">
        <f t="shared" ca="1" si="0"/>
        <v/>
      </c>
      <c r="AF9" s="90" t="str">
        <f t="shared" ca="1" si="0"/>
        <v/>
      </c>
      <c r="AG9" s="90" t="str">
        <f t="shared" ca="1" si="0"/>
        <v/>
      </c>
      <c r="AH9" s="90" t="str">
        <f t="shared" ca="1" si="0"/>
        <v/>
      </c>
      <c r="AI9" s="90" t="str">
        <f t="shared" ca="1" si="0"/>
        <v/>
      </c>
      <c r="AJ9" s="90" t="str">
        <f t="shared" ca="1" si="0"/>
        <v/>
      </c>
      <c r="AK9" s="90" t="str">
        <f t="shared" ca="1" si="0"/>
        <v/>
      </c>
      <c r="AL9" s="90" t="str">
        <f t="shared" ca="1" si="0"/>
        <v/>
      </c>
      <c r="AM9" s="68">
        <f t="shared" ca="1" si="2"/>
        <v>8</v>
      </c>
      <c r="AN9" s="68">
        <f t="shared" ca="1" si="3"/>
        <v>2</v>
      </c>
      <c r="AO9" s="68">
        <f t="shared" ca="1" si="4"/>
        <v>1</v>
      </c>
    </row>
    <row r="10" spans="3:41" x14ac:dyDescent="0.25">
      <c r="C10" s="167"/>
      <c r="D10" s="89" t="s">
        <v>80</v>
      </c>
      <c r="E10" s="90" t="str">
        <f t="shared" ca="1" si="1"/>
        <v>G</v>
      </c>
      <c r="F10" s="90" t="str">
        <f t="shared" ca="1" si="0"/>
        <v/>
      </c>
      <c r="G10" s="90" t="str">
        <f t="shared" ca="1" si="0"/>
        <v/>
      </c>
      <c r="H10" s="90" t="str">
        <f t="shared" ca="1" si="0"/>
        <v>G</v>
      </c>
      <c r="I10" s="90" t="str">
        <f t="shared" ca="1" si="0"/>
        <v/>
      </c>
      <c r="J10" s="90" t="str">
        <f t="shared" ca="1" si="0"/>
        <v>N</v>
      </c>
      <c r="K10" s="90" t="str">
        <f t="shared" ca="1" si="0"/>
        <v/>
      </c>
      <c r="L10" s="90" t="str">
        <f t="shared" ca="1" si="0"/>
        <v>G</v>
      </c>
      <c r="M10" s="90" t="str">
        <f t="shared" ca="1" si="0"/>
        <v/>
      </c>
      <c r="N10" s="90" t="str">
        <f t="shared" ca="1" si="0"/>
        <v>G</v>
      </c>
      <c r="O10" s="90" t="str">
        <f t="shared" ca="1" si="0"/>
        <v/>
      </c>
      <c r="P10" s="90" t="str">
        <f t="shared" ca="1" si="0"/>
        <v>N</v>
      </c>
      <c r="Q10" s="90" t="str">
        <f t="shared" ca="1" si="0"/>
        <v/>
      </c>
      <c r="R10" s="90" t="str">
        <f t="shared" ca="1" si="0"/>
        <v>G</v>
      </c>
      <c r="S10" s="90" t="str">
        <f t="shared" ca="1" si="0"/>
        <v/>
      </c>
      <c r="T10" s="90" t="str">
        <f t="shared" ca="1" si="0"/>
        <v>N</v>
      </c>
      <c r="U10" s="90" t="str">
        <f t="shared" ca="1" si="0"/>
        <v/>
      </c>
      <c r="V10" s="90" t="str">
        <f t="shared" ca="1" si="0"/>
        <v/>
      </c>
      <c r="W10" s="90" t="str">
        <f t="shared" ca="1" si="0"/>
        <v>G</v>
      </c>
      <c r="X10" s="90" t="str">
        <f t="shared" ca="1" si="0"/>
        <v>G</v>
      </c>
      <c r="Y10" s="90" t="str">
        <f t="shared" ca="1" si="0"/>
        <v/>
      </c>
      <c r="Z10" s="90" t="str">
        <f t="shared" ca="1" si="0"/>
        <v>G</v>
      </c>
      <c r="AA10" s="90" t="str">
        <f t="shared" ca="1" si="0"/>
        <v/>
      </c>
      <c r="AB10" s="90" t="str">
        <f t="shared" ca="1" si="0"/>
        <v>G</v>
      </c>
      <c r="AC10" s="90" t="str">
        <f t="shared" ca="1" si="0"/>
        <v/>
      </c>
      <c r="AD10" s="90" t="str">
        <f t="shared" ref="AD10:AL20" ca="1" si="5">IFERROR(VLOOKUP($D10,INDIRECT("domicile_"&amp;AD$2),10,0),"")</f>
        <v/>
      </c>
      <c r="AE10" s="90" t="str">
        <f t="shared" ca="1" si="5"/>
        <v/>
      </c>
      <c r="AF10" s="90" t="str">
        <f t="shared" ca="1" si="5"/>
        <v/>
      </c>
      <c r="AG10" s="90" t="str">
        <f t="shared" ca="1" si="5"/>
        <v/>
      </c>
      <c r="AH10" s="90" t="str">
        <f t="shared" ca="1" si="5"/>
        <v/>
      </c>
      <c r="AI10" s="90" t="str">
        <f t="shared" ca="1" si="5"/>
        <v/>
      </c>
      <c r="AJ10" s="90" t="str">
        <f t="shared" ca="1" si="5"/>
        <v/>
      </c>
      <c r="AK10" s="90" t="str">
        <f t="shared" ca="1" si="5"/>
        <v/>
      </c>
      <c r="AL10" s="90" t="str">
        <f t="shared" ca="1" si="5"/>
        <v/>
      </c>
      <c r="AM10" s="68">
        <f t="shared" ca="1" si="2"/>
        <v>9</v>
      </c>
      <c r="AN10" s="68">
        <f t="shared" ca="1" si="3"/>
        <v>3</v>
      </c>
      <c r="AO10" s="68">
        <f t="shared" ca="1" si="4"/>
        <v>0</v>
      </c>
    </row>
    <row r="11" spans="3:41" x14ac:dyDescent="0.25">
      <c r="C11" s="167"/>
      <c r="D11" s="89" t="s">
        <v>84</v>
      </c>
      <c r="E11" s="90" t="str">
        <f t="shared" ca="1" si="1"/>
        <v>G</v>
      </c>
      <c r="F11" s="90" t="str">
        <f t="shared" ca="1" si="1"/>
        <v/>
      </c>
      <c r="G11" s="90" t="str">
        <f t="shared" ca="1" si="1"/>
        <v>G</v>
      </c>
      <c r="H11" s="90" t="str">
        <f t="shared" ca="1" si="1"/>
        <v/>
      </c>
      <c r="I11" s="90" t="str">
        <f t="shared" ca="1" si="1"/>
        <v>N</v>
      </c>
      <c r="J11" s="90" t="str">
        <f t="shared" ca="1" si="1"/>
        <v/>
      </c>
      <c r="K11" s="90" t="str">
        <f t="shared" ca="1" si="1"/>
        <v>N</v>
      </c>
      <c r="L11" s="90" t="str">
        <f t="shared" ca="1" si="1"/>
        <v>G</v>
      </c>
      <c r="M11" s="90" t="str">
        <f t="shared" ca="1" si="1"/>
        <v/>
      </c>
      <c r="N11" s="90" t="str">
        <f t="shared" ca="1" si="1"/>
        <v>G</v>
      </c>
      <c r="O11" s="90" t="str">
        <f t="shared" ca="1" si="1"/>
        <v/>
      </c>
      <c r="P11" s="90" t="str">
        <f t="shared" ca="1" si="1"/>
        <v>P</v>
      </c>
      <c r="Q11" s="90" t="str">
        <f t="shared" ca="1" si="1"/>
        <v/>
      </c>
      <c r="R11" s="90" t="str">
        <f t="shared" ca="1" si="1"/>
        <v>N</v>
      </c>
      <c r="S11" s="90" t="str">
        <f t="shared" ca="1" si="1"/>
        <v/>
      </c>
      <c r="T11" s="90" t="str">
        <f t="shared" ca="1" si="1"/>
        <v>P</v>
      </c>
      <c r="U11" s="90" t="str">
        <f t="shared" ref="U11:AJ20" ca="1" si="6">IFERROR(VLOOKUP($D11,INDIRECT("domicile_"&amp;U$2),10,0),"")</f>
        <v/>
      </c>
      <c r="V11" s="90" t="str">
        <f t="shared" ca="1" si="6"/>
        <v/>
      </c>
      <c r="W11" s="90" t="str">
        <f t="shared" ca="1" si="6"/>
        <v>G</v>
      </c>
      <c r="X11" s="90" t="str">
        <f t="shared" ca="1" si="6"/>
        <v/>
      </c>
      <c r="Y11" s="90" t="str">
        <f t="shared" ca="1" si="6"/>
        <v>G</v>
      </c>
      <c r="Z11" s="90" t="str">
        <f t="shared" ca="1" si="6"/>
        <v/>
      </c>
      <c r="AA11" s="90" t="str">
        <f t="shared" ca="1" si="6"/>
        <v>P</v>
      </c>
      <c r="AB11" s="90" t="str">
        <f t="shared" ca="1" si="6"/>
        <v/>
      </c>
      <c r="AC11" s="90" t="str">
        <f t="shared" ca="1" si="6"/>
        <v/>
      </c>
      <c r="AD11" s="90" t="str">
        <f t="shared" ca="1" si="6"/>
        <v/>
      </c>
      <c r="AE11" s="90" t="str">
        <f t="shared" ca="1" si="6"/>
        <v/>
      </c>
      <c r="AF11" s="90" t="str">
        <f t="shared" ca="1" si="6"/>
        <v/>
      </c>
      <c r="AG11" s="90" t="str">
        <f t="shared" ca="1" si="6"/>
        <v/>
      </c>
      <c r="AH11" s="90" t="str">
        <f t="shared" ca="1" si="6"/>
        <v/>
      </c>
      <c r="AI11" s="90" t="str">
        <f t="shared" ca="1" si="6"/>
        <v/>
      </c>
      <c r="AJ11" s="90" t="str">
        <f t="shared" ca="1" si="6"/>
        <v/>
      </c>
      <c r="AK11" s="90" t="str">
        <f t="shared" ca="1" si="5"/>
        <v/>
      </c>
      <c r="AL11" s="90" t="str">
        <f t="shared" ca="1" si="5"/>
        <v/>
      </c>
      <c r="AM11" s="68">
        <f t="shared" ca="1" si="2"/>
        <v>6</v>
      </c>
      <c r="AN11" s="68">
        <f t="shared" ca="1" si="3"/>
        <v>3</v>
      </c>
      <c r="AO11" s="68">
        <f t="shared" ca="1" si="4"/>
        <v>3</v>
      </c>
    </row>
    <row r="12" spans="3:41" x14ac:dyDescent="0.25">
      <c r="C12" s="167"/>
      <c r="D12" s="89" t="s">
        <v>92</v>
      </c>
      <c r="E12" s="90" t="str">
        <f t="shared" ca="1" si="1"/>
        <v/>
      </c>
      <c r="F12" s="90" t="str">
        <f t="shared" ca="1" si="1"/>
        <v>N</v>
      </c>
      <c r="G12" s="90" t="str">
        <f t="shared" ca="1" si="1"/>
        <v/>
      </c>
      <c r="H12" s="90" t="str">
        <f t="shared" ca="1" si="1"/>
        <v>G</v>
      </c>
      <c r="I12" s="90" t="str">
        <f t="shared" ca="1" si="1"/>
        <v/>
      </c>
      <c r="J12" s="90" t="str">
        <f t="shared" ca="1" si="1"/>
        <v>P</v>
      </c>
      <c r="K12" s="90" t="str">
        <f t="shared" ca="1" si="1"/>
        <v/>
      </c>
      <c r="L12" s="90" t="str">
        <f t="shared" ca="1" si="1"/>
        <v>N</v>
      </c>
      <c r="M12" s="90" t="str">
        <f t="shared" ca="1" si="1"/>
        <v/>
      </c>
      <c r="N12" s="90" t="str">
        <f t="shared" ca="1" si="1"/>
        <v>P</v>
      </c>
      <c r="O12" s="90" t="str">
        <f t="shared" ca="1" si="1"/>
        <v/>
      </c>
      <c r="P12" s="90" t="str">
        <f t="shared" ca="1" si="1"/>
        <v>G</v>
      </c>
      <c r="Q12" s="90" t="str">
        <f t="shared" ca="1" si="1"/>
        <v/>
      </c>
      <c r="R12" s="90" t="str">
        <f t="shared" ca="1" si="1"/>
        <v>G</v>
      </c>
      <c r="S12" s="90" t="str">
        <f t="shared" ca="1" si="1"/>
        <v/>
      </c>
      <c r="T12" s="90" t="str">
        <f t="shared" ca="1" si="1"/>
        <v>G</v>
      </c>
      <c r="U12" s="90" t="str">
        <f t="shared" ca="1" si="6"/>
        <v/>
      </c>
      <c r="V12" s="90" t="str">
        <f t="shared" ca="1" si="6"/>
        <v>P</v>
      </c>
      <c r="W12" s="90" t="str">
        <f t="shared" ca="1" si="6"/>
        <v/>
      </c>
      <c r="X12" s="90" t="str">
        <f t="shared" ca="1" si="6"/>
        <v>G</v>
      </c>
      <c r="Y12" s="90" t="str">
        <f t="shared" ca="1" si="6"/>
        <v/>
      </c>
      <c r="Z12" s="90" t="str">
        <f t="shared" ca="1" si="6"/>
        <v>N</v>
      </c>
      <c r="AA12" s="90" t="str">
        <f t="shared" ca="1" si="6"/>
        <v/>
      </c>
      <c r="AB12" s="90" t="str">
        <f t="shared" ca="1" si="6"/>
        <v>P</v>
      </c>
      <c r="AC12" s="90" t="str">
        <f t="shared" ca="1" si="6"/>
        <v/>
      </c>
      <c r="AD12" s="90" t="str">
        <f t="shared" ca="1" si="6"/>
        <v/>
      </c>
      <c r="AE12" s="90" t="str">
        <f t="shared" ca="1" si="6"/>
        <v/>
      </c>
      <c r="AF12" s="90" t="str">
        <f t="shared" ca="1" si="6"/>
        <v/>
      </c>
      <c r="AG12" s="90" t="str">
        <f t="shared" ca="1" si="6"/>
        <v/>
      </c>
      <c r="AH12" s="90" t="str">
        <f t="shared" ca="1" si="6"/>
        <v/>
      </c>
      <c r="AI12" s="90" t="str">
        <f t="shared" ca="1" si="6"/>
        <v/>
      </c>
      <c r="AJ12" s="90" t="str">
        <f t="shared" ca="1" si="6"/>
        <v/>
      </c>
      <c r="AK12" s="90" t="str">
        <f t="shared" ca="1" si="5"/>
        <v/>
      </c>
      <c r="AL12" s="90" t="str">
        <f t="shared" ca="1" si="5"/>
        <v/>
      </c>
      <c r="AM12" s="68">
        <f t="shared" ca="1" si="2"/>
        <v>5</v>
      </c>
      <c r="AN12" s="68">
        <f t="shared" ca="1" si="3"/>
        <v>3</v>
      </c>
      <c r="AO12" s="68">
        <f t="shared" ca="1" si="4"/>
        <v>4</v>
      </c>
    </row>
    <row r="13" spans="3:41" x14ac:dyDescent="0.25">
      <c r="C13" s="167"/>
      <c r="D13" s="89" t="s">
        <v>93</v>
      </c>
      <c r="E13" s="90" t="str">
        <f t="shared" ca="1" si="1"/>
        <v/>
      </c>
      <c r="F13" s="90" t="str">
        <f t="shared" ca="1" si="1"/>
        <v>P</v>
      </c>
      <c r="G13" s="90" t="str">
        <f t="shared" ca="1" si="1"/>
        <v>G</v>
      </c>
      <c r="H13" s="90" t="str">
        <f t="shared" ca="1" si="1"/>
        <v/>
      </c>
      <c r="I13" s="90" t="str">
        <f t="shared" ca="1" si="1"/>
        <v>G</v>
      </c>
      <c r="J13" s="90" t="str">
        <f t="shared" ca="1" si="1"/>
        <v/>
      </c>
      <c r="K13" s="90" t="str">
        <f t="shared" ca="1" si="1"/>
        <v>N</v>
      </c>
      <c r="L13" s="90" t="str">
        <f t="shared" ca="1" si="1"/>
        <v/>
      </c>
      <c r="M13" s="90" t="str">
        <f t="shared" ca="1" si="1"/>
        <v>N</v>
      </c>
      <c r="N13" s="90" t="str">
        <f t="shared" ca="1" si="1"/>
        <v/>
      </c>
      <c r="O13" s="90" t="str">
        <f t="shared" ca="1" si="1"/>
        <v>N</v>
      </c>
      <c r="P13" s="90" t="str">
        <f t="shared" ca="1" si="1"/>
        <v/>
      </c>
      <c r="Q13" s="90" t="str">
        <f t="shared" ca="1" si="1"/>
        <v>G</v>
      </c>
      <c r="R13" s="90" t="str">
        <f t="shared" ca="1" si="1"/>
        <v/>
      </c>
      <c r="S13" s="90" t="str">
        <f t="shared" ca="1" si="1"/>
        <v>G</v>
      </c>
      <c r="T13" s="90" t="str">
        <f t="shared" ca="1" si="1"/>
        <v/>
      </c>
      <c r="U13" s="90" t="str">
        <f t="shared" ca="1" si="6"/>
        <v>N</v>
      </c>
      <c r="V13" s="90" t="str">
        <f t="shared" ca="1" si="6"/>
        <v>G</v>
      </c>
      <c r="W13" s="90" t="str">
        <f t="shared" ca="1" si="6"/>
        <v/>
      </c>
      <c r="X13" s="90" t="str">
        <f t="shared" ca="1" si="6"/>
        <v/>
      </c>
      <c r="Y13" s="90" t="str">
        <f t="shared" ca="1" si="6"/>
        <v>N</v>
      </c>
      <c r="Z13" s="90" t="str">
        <f t="shared" ca="1" si="6"/>
        <v/>
      </c>
      <c r="AA13" s="90" t="str">
        <f t="shared" ca="1" si="6"/>
        <v>P</v>
      </c>
      <c r="AB13" s="90" t="str">
        <f t="shared" ca="1" si="6"/>
        <v/>
      </c>
      <c r="AC13" s="90" t="str">
        <f t="shared" ca="1" si="6"/>
        <v/>
      </c>
      <c r="AD13" s="90" t="str">
        <f t="shared" ca="1" si="6"/>
        <v/>
      </c>
      <c r="AE13" s="90" t="str">
        <f t="shared" ca="1" si="6"/>
        <v/>
      </c>
      <c r="AF13" s="90" t="str">
        <f t="shared" ca="1" si="6"/>
        <v/>
      </c>
      <c r="AG13" s="90" t="str">
        <f t="shared" ca="1" si="6"/>
        <v/>
      </c>
      <c r="AH13" s="90" t="str">
        <f t="shared" ca="1" si="6"/>
        <v/>
      </c>
      <c r="AI13" s="90" t="str">
        <f t="shared" ca="1" si="6"/>
        <v/>
      </c>
      <c r="AJ13" s="90" t="str">
        <f t="shared" ca="1" si="6"/>
        <v/>
      </c>
      <c r="AK13" s="90" t="str">
        <f t="shared" ca="1" si="5"/>
        <v/>
      </c>
      <c r="AL13" s="90" t="str">
        <f t="shared" ca="1" si="5"/>
        <v/>
      </c>
      <c r="AM13" s="68">
        <f t="shared" ca="1" si="2"/>
        <v>5</v>
      </c>
      <c r="AN13" s="68">
        <f t="shared" ca="1" si="3"/>
        <v>5</v>
      </c>
      <c r="AO13" s="68">
        <f t="shared" ca="1" si="4"/>
        <v>2</v>
      </c>
    </row>
    <row r="14" spans="3:41" x14ac:dyDescent="0.25">
      <c r="C14" s="167"/>
      <c r="D14" s="89" t="s">
        <v>89</v>
      </c>
      <c r="E14" s="90" t="str">
        <f t="shared" ca="1" si="1"/>
        <v/>
      </c>
      <c r="F14" s="90" t="str">
        <f t="shared" ca="1" si="1"/>
        <v>P</v>
      </c>
      <c r="G14" s="90" t="str">
        <f t="shared" ca="1" si="1"/>
        <v/>
      </c>
      <c r="H14" s="90" t="str">
        <f t="shared" ca="1" si="1"/>
        <v>N</v>
      </c>
      <c r="I14" s="90" t="str">
        <f t="shared" ca="1" si="1"/>
        <v/>
      </c>
      <c r="J14" s="90" t="str">
        <f t="shared" ca="1" si="1"/>
        <v>P</v>
      </c>
      <c r="K14" s="90" t="str">
        <f t="shared" ca="1" si="1"/>
        <v/>
      </c>
      <c r="L14" s="90" t="str">
        <f t="shared" ca="1" si="1"/>
        <v>G</v>
      </c>
      <c r="M14" s="90" t="str">
        <f t="shared" ca="1" si="1"/>
        <v/>
      </c>
      <c r="N14" s="90" t="str">
        <f t="shared" ca="1" si="1"/>
        <v>G</v>
      </c>
      <c r="O14" s="90" t="str">
        <f t="shared" ca="1" si="1"/>
        <v/>
      </c>
      <c r="P14" s="90" t="str">
        <f t="shared" ca="1" si="1"/>
        <v>P</v>
      </c>
      <c r="Q14" s="90" t="str">
        <f t="shared" ca="1" si="1"/>
        <v/>
      </c>
      <c r="R14" s="90" t="str">
        <f t="shared" ca="1" si="1"/>
        <v/>
      </c>
      <c r="S14" s="90" t="str">
        <f t="shared" ca="1" si="1"/>
        <v>P</v>
      </c>
      <c r="T14" s="90" t="str">
        <f t="shared" ca="1" si="1"/>
        <v/>
      </c>
      <c r="U14" s="90" t="str">
        <f t="shared" ca="1" si="6"/>
        <v>G</v>
      </c>
      <c r="V14" s="90" t="str">
        <f t="shared" ca="1" si="6"/>
        <v>P</v>
      </c>
      <c r="W14" s="90" t="str">
        <f t="shared" ca="1" si="6"/>
        <v/>
      </c>
      <c r="X14" s="90" t="str">
        <f t="shared" ca="1" si="6"/>
        <v>N</v>
      </c>
      <c r="Y14" s="90" t="str">
        <f t="shared" ca="1" si="6"/>
        <v/>
      </c>
      <c r="Z14" s="90" t="str">
        <f t="shared" ca="1" si="6"/>
        <v>P</v>
      </c>
      <c r="AA14" s="90" t="str">
        <f t="shared" ca="1" si="6"/>
        <v/>
      </c>
      <c r="AB14" s="90" t="str">
        <f t="shared" ca="1" si="6"/>
        <v>N</v>
      </c>
      <c r="AC14" s="90" t="str">
        <f t="shared" ca="1" si="6"/>
        <v/>
      </c>
      <c r="AD14" s="90" t="str">
        <f t="shared" ca="1" si="6"/>
        <v/>
      </c>
      <c r="AE14" s="90" t="str">
        <f t="shared" ca="1" si="6"/>
        <v/>
      </c>
      <c r="AF14" s="90" t="str">
        <f t="shared" ca="1" si="6"/>
        <v/>
      </c>
      <c r="AG14" s="90" t="str">
        <f t="shared" ca="1" si="6"/>
        <v/>
      </c>
      <c r="AH14" s="90" t="str">
        <f t="shared" ca="1" si="6"/>
        <v/>
      </c>
      <c r="AI14" s="90" t="str">
        <f t="shared" ca="1" si="6"/>
        <v/>
      </c>
      <c r="AJ14" s="90" t="str">
        <f t="shared" ca="1" si="6"/>
        <v/>
      </c>
      <c r="AK14" s="90" t="str">
        <f t="shared" ca="1" si="5"/>
        <v/>
      </c>
      <c r="AL14" s="90" t="str">
        <f t="shared" ca="1" si="5"/>
        <v/>
      </c>
      <c r="AM14" s="68">
        <f t="shared" ca="1" si="2"/>
        <v>3</v>
      </c>
      <c r="AN14" s="68">
        <f t="shared" ca="1" si="3"/>
        <v>3</v>
      </c>
      <c r="AO14" s="68">
        <f t="shared" ca="1" si="4"/>
        <v>6</v>
      </c>
    </row>
    <row r="15" spans="3:41" x14ac:dyDescent="0.25">
      <c r="C15" s="167"/>
      <c r="D15" s="89" t="s">
        <v>88</v>
      </c>
      <c r="E15" s="90" t="str">
        <f t="shared" ca="1" si="1"/>
        <v/>
      </c>
      <c r="F15" s="90" t="str">
        <f t="shared" ca="1" si="1"/>
        <v>P</v>
      </c>
      <c r="G15" s="90" t="str">
        <f t="shared" ca="1" si="1"/>
        <v/>
      </c>
      <c r="H15" s="90" t="str">
        <f t="shared" ca="1" si="1"/>
        <v/>
      </c>
      <c r="I15" s="90" t="str">
        <f t="shared" ca="1" si="1"/>
        <v>G</v>
      </c>
      <c r="J15" s="90" t="str">
        <f t="shared" ca="1" si="1"/>
        <v/>
      </c>
      <c r="K15" s="90" t="str">
        <f t="shared" ca="1" si="1"/>
        <v>G</v>
      </c>
      <c r="L15" s="90" t="str">
        <f t="shared" ca="1" si="1"/>
        <v/>
      </c>
      <c r="M15" s="90" t="str">
        <f t="shared" ca="1" si="1"/>
        <v>P</v>
      </c>
      <c r="N15" s="90" t="str">
        <f t="shared" ca="1" si="1"/>
        <v/>
      </c>
      <c r="O15" s="90" t="str">
        <f t="shared" ca="1" si="1"/>
        <v>P</v>
      </c>
      <c r="P15" s="90" t="str">
        <f t="shared" ca="1" si="1"/>
        <v/>
      </c>
      <c r="Q15" s="90" t="str">
        <f t="shared" ca="1" si="1"/>
        <v>P</v>
      </c>
      <c r="R15" s="90" t="str">
        <f t="shared" ca="1" si="1"/>
        <v/>
      </c>
      <c r="S15" s="90" t="str">
        <f t="shared" ca="1" si="1"/>
        <v>G</v>
      </c>
      <c r="T15" s="90" t="str">
        <f t="shared" ca="1" si="1"/>
        <v/>
      </c>
      <c r="U15" s="90" t="str">
        <f t="shared" ca="1" si="6"/>
        <v>N</v>
      </c>
      <c r="V15" s="90" t="str">
        <f t="shared" ca="1" si="6"/>
        <v>P</v>
      </c>
      <c r="W15" s="90" t="str">
        <f t="shared" ca="1" si="6"/>
        <v/>
      </c>
      <c r="X15" s="90" t="str">
        <f t="shared" ca="1" si="6"/>
        <v>N</v>
      </c>
      <c r="Y15" s="90" t="str">
        <f t="shared" ca="1" si="6"/>
        <v>P</v>
      </c>
      <c r="Z15" s="90" t="str">
        <f t="shared" ca="1" si="6"/>
        <v/>
      </c>
      <c r="AA15" s="90" t="str">
        <f t="shared" ca="1" si="6"/>
        <v>P</v>
      </c>
      <c r="AB15" s="90" t="str">
        <f t="shared" ca="1" si="6"/>
        <v/>
      </c>
      <c r="AC15" s="90" t="str">
        <f t="shared" ca="1" si="6"/>
        <v/>
      </c>
      <c r="AD15" s="90" t="str">
        <f t="shared" ca="1" si="6"/>
        <v/>
      </c>
      <c r="AE15" s="90" t="str">
        <f t="shared" ca="1" si="6"/>
        <v/>
      </c>
      <c r="AF15" s="90" t="str">
        <f t="shared" ca="1" si="6"/>
        <v/>
      </c>
      <c r="AG15" s="90" t="str">
        <f t="shared" ca="1" si="6"/>
        <v/>
      </c>
      <c r="AH15" s="90" t="str">
        <f t="shared" ca="1" si="6"/>
        <v/>
      </c>
      <c r="AI15" s="90" t="str">
        <f t="shared" ca="1" si="6"/>
        <v/>
      </c>
      <c r="AJ15" s="90" t="str">
        <f t="shared" ca="1" si="6"/>
        <v/>
      </c>
      <c r="AK15" s="90" t="str">
        <f t="shared" ca="1" si="5"/>
        <v/>
      </c>
      <c r="AL15" s="90" t="str">
        <f t="shared" ca="1" si="5"/>
        <v/>
      </c>
      <c r="AM15" s="68">
        <f t="shared" ca="1" si="2"/>
        <v>3</v>
      </c>
      <c r="AN15" s="68">
        <f t="shared" ca="1" si="3"/>
        <v>2</v>
      </c>
      <c r="AO15" s="68">
        <f t="shared" ca="1" si="4"/>
        <v>7</v>
      </c>
    </row>
    <row r="16" spans="3:41" x14ac:dyDescent="0.25">
      <c r="C16" s="167"/>
      <c r="D16" s="89" t="s">
        <v>81</v>
      </c>
      <c r="E16" s="90" t="str">
        <f t="shared" ca="1" si="1"/>
        <v/>
      </c>
      <c r="F16" s="90" t="str">
        <f t="shared" ca="1" si="1"/>
        <v>G</v>
      </c>
      <c r="G16" s="90" t="str">
        <f t="shared" ca="1" si="1"/>
        <v/>
      </c>
      <c r="H16" s="90" t="str">
        <f t="shared" ca="1" si="1"/>
        <v>N</v>
      </c>
      <c r="I16" s="90" t="str">
        <f t="shared" ca="1" si="1"/>
        <v/>
      </c>
      <c r="J16" s="90" t="str">
        <f t="shared" ca="1" si="1"/>
        <v>P</v>
      </c>
      <c r="K16" s="90" t="str">
        <f t="shared" ca="1" si="1"/>
        <v/>
      </c>
      <c r="L16" s="90" t="str">
        <f t="shared" ca="1" si="1"/>
        <v>N</v>
      </c>
      <c r="M16" s="90" t="str">
        <f t="shared" ca="1" si="1"/>
        <v/>
      </c>
      <c r="N16" s="90" t="str">
        <f t="shared" ca="1" si="1"/>
        <v>G</v>
      </c>
      <c r="O16" s="90" t="str">
        <f t="shared" ca="1" si="1"/>
        <v/>
      </c>
      <c r="P16" s="90" t="str">
        <f t="shared" ca="1" si="1"/>
        <v>G</v>
      </c>
      <c r="Q16" s="90" t="str">
        <f t="shared" ca="1" si="1"/>
        <v/>
      </c>
      <c r="R16" s="90" t="str">
        <f t="shared" ca="1" si="1"/>
        <v>G</v>
      </c>
      <c r="S16" s="90" t="str">
        <f t="shared" ca="1" si="1"/>
        <v/>
      </c>
      <c r="T16" s="90" t="str">
        <f t="shared" ca="1" si="1"/>
        <v/>
      </c>
      <c r="U16" s="90" t="str">
        <f t="shared" ca="1" si="6"/>
        <v>G</v>
      </c>
      <c r="V16" s="90" t="str">
        <f t="shared" ca="1" si="6"/>
        <v>G</v>
      </c>
      <c r="W16" s="90" t="str">
        <f t="shared" ca="1" si="6"/>
        <v/>
      </c>
      <c r="X16" s="90" t="str">
        <f t="shared" ca="1" si="6"/>
        <v>N</v>
      </c>
      <c r="Y16" s="90" t="str">
        <f t="shared" ca="1" si="6"/>
        <v/>
      </c>
      <c r="Z16" s="90" t="str">
        <f t="shared" ca="1" si="6"/>
        <v>G</v>
      </c>
      <c r="AA16" s="90" t="str">
        <f t="shared" ca="1" si="6"/>
        <v/>
      </c>
      <c r="AB16" s="90" t="str">
        <f t="shared" ca="1" si="6"/>
        <v>N</v>
      </c>
      <c r="AC16" s="90" t="str">
        <f t="shared" ca="1" si="6"/>
        <v/>
      </c>
      <c r="AD16" s="90" t="str">
        <f t="shared" ca="1" si="6"/>
        <v/>
      </c>
      <c r="AE16" s="90" t="str">
        <f t="shared" ca="1" si="6"/>
        <v/>
      </c>
      <c r="AF16" s="90" t="str">
        <f t="shared" ca="1" si="6"/>
        <v/>
      </c>
      <c r="AG16" s="90" t="str">
        <f t="shared" ca="1" si="6"/>
        <v/>
      </c>
      <c r="AH16" s="90" t="str">
        <f t="shared" ca="1" si="6"/>
        <v/>
      </c>
      <c r="AI16" s="90" t="str">
        <f t="shared" ca="1" si="6"/>
        <v/>
      </c>
      <c r="AJ16" s="90" t="str">
        <f t="shared" ca="1" si="6"/>
        <v/>
      </c>
      <c r="AK16" s="90" t="str">
        <f t="shared" ca="1" si="5"/>
        <v/>
      </c>
      <c r="AL16" s="90" t="str">
        <f t="shared" ca="1" si="5"/>
        <v/>
      </c>
      <c r="AM16" s="68">
        <f t="shared" ca="1" si="2"/>
        <v>7</v>
      </c>
      <c r="AN16" s="68">
        <f t="shared" ca="1" si="3"/>
        <v>4</v>
      </c>
      <c r="AO16" s="68">
        <f t="shared" ca="1" si="4"/>
        <v>1</v>
      </c>
    </row>
    <row r="17" spans="3:41" x14ac:dyDescent="0.25">
      <c r="C17" s="167"/>
      <c r="D17" s="89" t="s">
        <v>91</v>
      </c>
      <c r="E17" s="90" t="str">
        <f t="shared" ca="1" si="1"/>
        <v>G</v>
      </c>
      <c r="F17" s="90" t="str">
        <f t="shared" ca="1" si="1"/>
        <v/>
      </c>
      <c r="G17" s="90" t="str">
        <f t="shared" ca="1" si="1"/>
        <v>P</v>
      </c>
      <c r="H17" s="90" t="str">
        <f t="shared" ca="1" si="1"/>
        <v/>
      </c>
      <c r="I17" s="90" t="str">
        <f t="shared" ca="1" si="1"/>
        <v>N</v>
      </c>
      <c r="J17" s="90" t="str">
        <f t="shared" ca="1" si="1"/>
        <v/>
      </c>
      <c r="K17" s="90" t="str">
        <f t="shared" ca="1" si="1"/>
        <v>N</v>
      </c>
      <c r="L17" s="90" t="str">
        <f t="shared" ca="1" si="1"/>
        <v/>
      </c>
      <c r="M17" s="90" t="str">
        <f t="shared" ca="1" si="1"/>
        <v>G</v>
      </c>
      <c r="N17" s="90" t="str">
        <f t="shared" ca="1" si="1"/>
        <v/>
      </c>
      <c r="O17" s="90" t="str">
        <f t="shared" ca="1" si="1"/>
        <v>G</v>
      </c>
      <c r="P17" s="90" t="str">
        <f t="shared" ca="1" si="1"/>
        <v/>
      </c>
      <c r="Q17" s="90" t="str">
        <f t="shared" ca="1" si="1"/>
        <v/>
      </c>
      <c r="R17" s="90" t="str">
        <f t="shared" ca="1" si="1"/>
        <v>G</v>
      </c>
      <c r="S17" s="90" t="str">
        <f t="shared" ca="1" si="1"/>
        <v/>
      </c>
      <c r="T17" s="90" t="str">
        <f t="shared" ca="1" si="1"/>
        <v>P</v>
      </c>
      <c r="U17" s="90" t="str">
        <f t="shared" ca="1" si="6"/>
        <v/>
      </c>
      <c r="V17" s="90" t="str">
        <f t="shared" ca="1" si="6"/>
        <v/>
      </c>
      <c r="W17" s="90" t="str">
        <f t="shared" ca="1" si="6"/>
        <v>P</v>
      </c>
      <c r="X17" s="90" t="str">
        <f t="shared" ca="1" si="6"/>
        <v/>
      </c>
      <c r="Y17" s="90" t="str">
        <f t="shared" ca="1" si="6"/>
        <v>G</v>
      </c>
      <c r="Z17" s="90" t="str">
        <f t="shared" ca="1" si="6"/>
        <v/>
      </c>
      <c r="AA17" s="90" t="str">
        <f t="shared" ca="1" si="6"/>
        <v>P</v>
      </c>
      <c r="AB17" s="90" t="str">
        <f t="shared" ca="1" si="6"/>
        <v/>
      </c>
      <c r="AC17" s="90" t="str">
        <f t="shared" ca="1" si="6"/>
        <v/>
      </c>
      <c r="AD17" s="90" t="str">
        <f t="shared" ca="1" si="6"/>
        <v/>
      </c>
      <c r="AE17" s="90" t="str">
        <f t="shared" ca="1" si="6"/>
        <v/>
      </c>
      <c r="AF17" s="90" t="str">
        <f t="shared" ca="1" si="6"/>
        <v/>
      </c>
      <c r="AG17" s="90" t="str">
        <f t="shared" ca="1" si="6"/>
        <v/>
      </c>
      <c r="AH17" s="90" t="str">
        <f t="shared" ca="1" si="6"/>
        <v/>
      </c>
      <c r="AI17" s="90" t="str">
        <f t="shared" ca="1" si="6"/>
        <v/>
      </c>
      <c r="AJ17" s="90" t="str">
        <f t="shared" ca="1" si="6"/>
        <v/>
      </c>
      <c r="AK17" s="90" t="str">
        <f t="shared" ca="1" si="5"/>
        <v/>
      </c>
      <c r="AL17" s="90" t="str">
        <f t="shared" ca="1" si="5"/>
        <v/>
      </c>
      <c r="AM17" s="68">
        <f t="shared" ca="1" si="2"/>
        <v>5</v>
      </c>
      <c r="AN17" s="68">
        <f t="shared" ca="1" si="3"/>
        <v>2</v>
      </c>
      <c r="AO17" s="68">
        <f t="shared" ca="1" si="4"/>
        <v>4</v>
      </c>
    </row>
    <row r="18" spans="3:41" x14ac:dyDescent="0.25">
      <c r="C18" s="167"/>
      <c r="D18" s="89" t="s">
        <v>148</v>
      </c>
      <c r="E18" s="90" t="str">
        <f t="shared" ca="1" si="1"/>
        <v/>
      </c>
      <c r="F18" s="90" t="str">
        <f t="shared" ca="1" si="1"/>
        <v>P</v>
      </c>
      <c r="G18" s="90" t="str">
        <f t="shared" ca="1" si="1"/>
        <v/>
      </c>
      <c r="H18" s="90" t="str">
        <f t="shared" ca="1" si="1"/>
        <v>P</v>
      </c>
      <c r="I18" s="90" t="str">
        <f t="shared" ca="1" si="1"/>
        <v/>
      </c>
      <c r="J18" s="90" t="str">
        <f t="shared" ca="1" si="1"/>
        <v>P</v>
      </c>
      <c r="K18" s="90" t="str">
        <f t="shared" ca="1" si="1"/>
        <v>P</v>
      </c>
      <c r="L18" s="90" t="str">
        <f t="shared" ca="1" si="1"/>
        <v/>
      </c>
      <c r="M18" s="90" t="str">
        <f t="shared" ca="1" si="1"/>
        <v>G</v>
      </c>
      <c r="N18" s="90" t="str">
        <f t="shared" ca="1" si="1"/>
        <v/>
      </c>
      <c r="O18" s="90" t="str">
        <f t="shared" ca="1" si="1"/>
        <v>P</v>
      </c>
      <c r="P18" s="90" t="str">
        <f t="shared" ca="1" si="1"/>
        <v/>
      </c>
      <c r="Q18" s="90" t="str">
        <f t="shared" ca="1" si="1"/>
        <v>P</v>
      </c>
      <c r="R18" s="90" t="str">
        <f t="shared" ca="1" si="1"/>
        <v/>
      </c>
      <c r="S18" s="90" t="str">
        <f t="shared" ca="1" si="1"/>
        <v>N</v>
      </c>
      <c r="T18" s="90" t="str">
        <f t="shared" ca="1" si="1"/>
        <v/>
      </c>
      <c r="U18" s="90" t="str">
        <f t="shared" ca="1" si="6"/>
        <v>G</v>
      </c>
      <c r="V18" s="90" t="str">
        <f t="shared" ca="1" si="6"/>
        <v>P</v>
      </c>
      <c r="W18" s="90" t="str">
        <f t="shared" ca="1" si="6"/>
        <v/>
      </c>
      <c r="X18" s="90" t="str">
        <f t="shared" ca="1" si="6"/>
        <v>P</v>
      </c>
      <c r="Y18" s="90" t="str">
        <f t="shared" ca="1" si="6"/>
        <v/>
      </c>
      <c r="Z18" s="90" t="str">
        <f t="shared" ca="1" si="6"/>
        <v>P</v>
      </c>
      <c r="AA18" s="90" t="str">
        <f t="shared" ca="1" si="6"/>
        <v/>
      </c>
      <c r="AB18" s="90" t="str">
        <f t="shared" ca="1" si="6"/>
        <v/>
      </c>
      <c r="AC18" s="90" t="str">
        <f t="shared" ca="1" si="6"/>
        <v/>
      </c>
      <c r="AD18" s="90" t="str">
        <f t="shared" ca="1" si="6"/>
        <v/>
      </c>
      <c r="AE18" s="90" t="str">
        <f t="shared" ca="1" si="6"/>
        <v/>
      </c>
      <c r="AF18" s="90" t="str">
        <f t="shared" ca="1" si="6"/>
        <v/>
      </c>
      <c r="AG18" s="90" t="str">
        <f t="shared" ca="1" si="6"/>
        <v/>
      </c>
      <c r="AH18" s="90" t="str">
        <f t="shared" ca="1" si="6"/>
        <v/>
      </c>
      <c r="AI18" s="90" t="str">
        <f t="shared" ca="1" si="6"/>
        <v/>
      </c>
      <c r="AJ18" s="90" t="str">
        <f t="shared" ca="1" si="6"/>
        <v/>
      </c>
      <c r="AK18" s="90" t="str">
        <f t="shared" ca="1" si="5"/>
        <v/>
      </c>
      <c r="AL18" s="90" t="str">
        <f t="shared" ca="1" si="5"/>
        <v/>
      </c>
      <c r="AM18" s="68">
        <f t="shared" ca="1" si="2"/>
        <v>2</v>
      </c>
      <c r="AN18" s="68">
        <f t="shared" ca="1" si="3"/>
        <v>1</v>
      </c>
      <c r="AO18" s="68">
        <f t="shared" ca="1" si="4"/>
        <v>9</v>
      </c>
    </row>
    <row r="19" spans="3:41" x14ac:dyDescent="0.25">
      <c r="C19" s="167"/>
      <c r="D19" s="89" t="s">
        <v>85</v>
      </c>
      <c r="E19" s="90" t="str">
        <f t="shared" ca="1" si="1"/>
        <v>G</v>
      </c>
      <c r="F19" s="90" t="str">
        <f t="shared" ca="1" si="1"/>
        <v/>
      </c>
      <c r="G19" s="90" t="str">
        <f t="shared" ca="1" si="1"/>
        <v>N</v>
      </c>
      <c r="H19" s="90" t="str">
        <f t="shared" ca="1" si="1"/>
        <v/>
      </c>
      <c r="I19" s="90" t="str">
        <f t="shared" ca="1" si="1"/>
        <v>N</v>
      </c>
      <c r="J19" s="90" t="str">
        <f t="shared" ca="1" si="1"/>
        <v/>
      </c>
      <c r="K19" s="90" t="str">
        <f t="shared" ca="1" si="1"/>
        <v>G</v>
      </c>
      <c r="L19" s="90" t="str">
        <f t="shared" ca="1" si="1"/>
        <v/>
      </c>
      <c r="M19" s="90" t="str">
        <f t="shared" ca="1" si="1"/>
        <v>N</v>
      </c>
      <c r="N19" s="90" t="str">
        <f t="shared" ca="1" si="1"/>
        <v/>
      </c>
      <c r="O19" s="90" t="str">
        <f t="shared" ca="1" si="1"/>
        <v>P</v>
      </c>
      <c r="P19" s="90" t="str">
        <f t="shared" ca="1" si="1"/>
        <v/>
      </c>
      <c r="Q19" s="90" t="str">
        <f t="shared" ca="1" si="1"/>
        <v>P</v>
      </c>
      <c r="R19" s="90" t="str">
        <f t="shared" ca="1" si="1"/>
        <v/>
      </c>
      <c r="S19" s="90" t="str">
        <f t="shared" ca="1" si="1"/>
        <v>G</v>
      </c>
      <c r="T19" s="90" t="str">
        <f t="shared" ca="1" si="1"/>
        <v>N</v>
      </c>
      <c r="U19" s="90" t="str">
        <f t="shared" ca="1" si="6"/>
        <v/>
      </c>
      <c r="V19" s="90" t="str">
        <f t="shared" ca="1" si="6"/>
        <v/>
      </c>
      <c r="W19" s="90" t="str">
        <f t="shared" ca="1" si="6"/>
        <v>P</v>
      </c>
      <c r="X19" s="90" t="str">
        <f t="shared" ca="1" si="6"/>
        <v/>
      </c>
      <c r="Y19" s="90" t="str">
        <f t="shared" ca="1" si="6"/>
        <v>N</v>
      </c>
      <c r="Z19" s="90" t="str">
        <f t="shared" ca="1" si="6"/>
        <v/>
      </c>
      <c r="AA19" s="90" t="str">
        <f t="shared" ca="1" si="6"/>
        <v>G</v>
      </c>
      <c r="AB19" s="90" t="str">
        <f t="shared" ca="1" si="6"/>
        <v/>
      </c>
      <c r="AC19" s="90" t="str">
        <f t="shared" ca="1" si="6"/>
        <v/>
      </c>
      <c r="AD19" s="90" t="str">
        <f t="shared" ca="1" si="6"/>
        <v/>
      </c>
      <c r="AE19" s="90" t="str">
        <f t="shared" ca="1" si="6"/>
        <v/>
      </c>
      <c r="AF19" s="90" t="str">
        <f t="shared" ca="1" si="6"/>
        <v/>
      </c>
      <c r="AG19" s="90" t="str">
        <f t="shared" ca="1" si="6"/>
        <v/>
      </c>
      <c r="AH19" s="90" t="str">
        <f t="shared" ca="1" si="6"/>
        <v/>
      </c>
      <c r="AI19" s="90" t="str">
        <f t="shared" ca="1" si="6"/>
        <v/>
      </c>
      <c r="AJ19" s="90" t="str">
        <f t="shared" ca="1" si="6"/>
        <v/>
      </c>
      <c r="AK19" s="90" t="str">
        <f t="shared" ca="1" si="5"/>
        <v/>
      </c>
      <c r="AL19" s="90" t="str">
        <f t="shared" ca="1" si="5"/>
        <v/>
      </c>
      <c r="AM19" s="68">
        <f t="shared" ca="1" si="2"/>
        <v>4</v>
      </c>
      <c r="AN19" s="68">
        <f t="shared" ca="1" si="3"/>
        <v>5</v>
      </c>
      <c r="AO19" s="68">
        <f t="shared" ca="1" si="4"/>
        <v>3</v>
      </c>
    </row>
    <row r="20" spans="3:41" x14ac:dyDescent="0.25">
      <c r="C20" s="167"/>
      <c r="D20" s="89" t="s">
        <v>87</v>
      </c>
      <c r="E20" s="90" t="str">
        <f t="shared" ca="1" si="1"/>
        <v>P</v>
      </c>
      <c r="F20" s="90" t="str">
        <f t="shared" ca="1" si="1"/>
        <v/>
      </c>
      <c r="G20" s="90" t="str">
        <f t="shared" ca="1" si="1"/>
        <v>G</v>
      </c>
      <c r="H20" s="90" t="str">
        <f t="shared" ca="1" si="1"/>
        <v/>
      </c>
      <c r="I20" s="90" t="str">
        <f t="shared" ca="1" si="1"/>
        <v>P</v>
      </c>
      <c r="J20" s="90" t="str">
        <f t="shared" ca="1" si="1"/>
        <v/>
      </c>
      <c r="K20" s="90" t="str">
        <f t="shared" ca="1" si="1"/>
        <v/>
      </c>
      <c r="L20" s="90" t="str">
        <f t="shared" ca="1" si="1"/>
        <v>N</v>
      </c>
      <c r="M20" s="90" t="str">
        <f t="shared" ca="1" si="1"/>
        <v/>
      </c>
      <c r="N20" s="90" t="str">
        <f t="shared" ca="1" si="1"/>
        <v>N</v>
      </c>
      <c r="O20" s="90" t="str">
        <f t="shared" ca="1" si="1"/>
        <v/>
      </c>
      <c r="P20" s="90" t="str">
        <f t="shared" ca="1" si="1"/>
        <v>P</v>
      </c>
      <c r="Q20" s="90" t="str">
        <f t="shared" ca="1" si="1"/>
        <v/>
      </c>
      <c r="R20" s="90" t="str">
        <f t="shared" ca="1" si="1"/>
        <v>P</v>
      </c>
      <c r="S20" s="90" t="str">
        <f t="shared" ca="1" si="1"/>
        <v/>
      </c>
      <c r="T20" s="90" t="str">
        <f t="shared" ca="1" si="1"/>
        <v>P</v>
      </c>
      <c r="U20" s="90" t="str">
        <f t="shared" ca="1" si="6"/>
        <v/>
      </c>
      <c r="V20" s="90" t="str">
        <f t="shared" ca="1" si="6"/>
        <v/>
      </c>
      <c r="W20" s="90" t="str">
        <f t="shared" ca="1" si="6"/>
        <v>P</v>
      </c>
      <c r="X20" s="90" t="str">
        <f t="shared" ca="1" si="6"/>
        <v/>
      </c>
      <c r="Y20" s="90" t="str">
        <f t="shared" ca="1" si="6"/>
        <v>P</v>
      </c>
      <c r="Z20" s="90" t="str">
        <f t="shared" ca="1" si="6"/>
        <v/>
      </c>
      <c r="AA20" s="90" t="str">
        <f t="shared" ca="1" si="6"/>
        <v>P</v>
      </c>
      <c r="AB20" s="90" t="str">
        <f t="shared" ca="1" si="6"/>
        <v/>
      </c>
      <c r="AC20" s="90" t="str">
        <f t="shared" ca="1" si="6"/>
        <v/>
      </c>
      <c r="AD20" s="90" t="str">
        <f t="shared" ca="1" si="6"/>
        <v/>
      </c>
      <c r="AE20" s="90" t="str">
        <f t="shared" ca="1" si="6"/>
        <v/>
      </c>
      <c r="AF20" s="90" t="str">
        <f t="shared" ca="1" si="6"/>
        <v/>
      </c>
      <c r="AG20" s="90" t="str">
        <f t="shared" ca="1" si="6"/>
        <v/>
      </c>
      <c r="AH20" s="90" t="str">
        <f t="shared" ca="1" si="6"/>
        <v/>
      </c>
      <c r="AI20" s="90" t="str">
        <f t="shared" ca="1" si="6"/>
        <v/>
      </c>
      <c r="AJ20" s="90" t="str">
        <f t="shared" ca="1" si="6"/>
        <v/>
      </c>
      <c r="AK20" s="90" t="str">
        <f t="shared" ca="1" si="5"/>
        <v/>
      </c>
      <c r="AL20" s="90" t="str">
        <f t="shared" ca="1" si="5"/>
        <v/>
      </c>
      <c r="AM20" s="68">
        <f t="shared" ca="1" si="2"/>
        <v>1</v>
      </c>
      <c r="AN20" s="68">
        <f t="shared" ca="1" si="3"/>
        <v>2</v>
      </c>
      <c r="AO20" s="68">
        <f t="shared" ca="1" si="4"/>
        <v>8</v>
      </c>
    </row>
    <row r="22" spans="3:41" x14ac:dyDescent="0.25">
      <c r="D22" s="67"/>
      <c r="E22" s="61">
        <v>1</v>
      </c>
      <c r="F22" s="61">
        <v>2</v>
      </c>
      <c r="G22" s="61">
        <v>3</v>
      </c>
      <c r="H22" s="61">
        <v>4</v>
      </c>
      <c r="I22" s="61">
        <v>5</v>
      </c>
      <c r="J22" s="61">
        <v>6</v>
      </c>
      <c r="K22" s="61">
        <v>7</v>
      </c>
      <c r="L22" s="61">
        <v>8</v>
      </c>
      <c r="M22" s="61">
        <v>9</v>
      </c>
      <c r="N22" s="61">
        <v>10</v>
      </c>
      <c r="O22" s="61">
        <v>11</v>
      </c>
      <c r="P22" s="61">
        <v>12</v>
      </c>
      <c r="Q22" s="61">
        <v>13</v>
      </c>
      <c r="R22" s="61">
        <v>14</v>
      </c>
      <c r="S22" s="61">
        <v>15</v>
      </c>
      <c r="T22" s="61">
        <v>16</v>
      </c>
      <c r="U22" s="61">
        <v>17</v>
      </c>
      <c r="V22" s="61">
        <v>18</v>
      </c>
      <c r="W22" s="61">
        <v>19</v>
      </c>
      <c r="X22" s="61">
        <v>20</v>
      </c>
      <c r="Y22" s="61">
        <v>21</v>
      </c>
      <c r="Z22" s="61">
        <v>22</v>
      </c>
      <c r="AA22" s="61">
        <v>23</v>
      </c>
      <c r="AB22" s="61">
        <v>24</v>
      </c>
      <c r="AC22" s="61">
        <v>25</v>
      </c>
      <c r="AD22" s="61">
        <v>26</v>
      </c>
      <c r="AE22" s="61">
        <v>27</v>
      </c>
      <c r="AF22" s="61">
        <v>28</v>
      </c>
      <c r="AG22" s="61">
        <v>29</v>
      </c>
      <c r="AH22" s="61">
        <v>30</v>
      </c>
      <c r="AI22" s="61">
        <v>31</v>
      </c>
      <c r="AJ22" s="61">
        <v>32</v>
      </c>
      <c r="AK22" s="61">
        <v>33</v>
      </c>
      <c r="AL22" s="61">
        <v>34</v>
      </c>
      <c r="AM22" s="82" t="s">
        <v>3</v>
      </c>
      <c r="AN22" s="83" t="s">
        <v>4</v>
      </c>
      <c r="AO22" s="84" t="s">
        <v>5</v>
      </c>
    </row>
    <row r="23" spans="3:41" x14ac:dyDescent="0.25">
      <c r="C23" s="168" t="s">
        <v>143</v>
      </c>
      <c r="D23" s="71" t="s">
        <v>161</v>
      </c>
      <c r="E23" s="90" t="str">
        <f ca="1">IFERROR(VLOOKUP($D23,INDIRECT("exterieur_"&amp;E$22),8,0),"")</f>
        <v>P</v>
      </c>
      <c r="F23" s="90" t="str">
        <f t="shared" ref="F23:AL30" ca="1" si="7">IFERROR(VLOOKUP($D23,INDIRECT("exterieur_"&amp;F$22),8,0),"")</f>
        <v/>
      </c>
      <c r="G23" s="90" t="str">
        <f t="shared" ca="1" si="7"/>
        <v>G</v>
      </c>
      <c r="H23" s="90" t="str">
        <f t="shared" ca="1" si="7"/>
        <v/>
      </c>
      <c r="I23" s="90" t="str">
        <f t="shared" ca="1" si="7"/>
        <v>P</v>
      </c>
      <c r="J23" s="90" t="str">
        <f t="shared" ca="1" si="7"/>
        <v/>
      </c>
      <c r="K23" s="90" t="str">
        <f t="shared" ca="1" si="7"/>
        <v>N</v>
      </c>
      <c r="L23" s="90" t="str">
        <f t="shared" ca="1" si="7"/>
        <v/>
      </c>
      <c r="M23" s="90" t="str">
        <f t="shared" ca="1" si="7"/>
        <v>P</v>
      </c>
      <c r="N23" s="90" t="str">
        <f t="shared" ca="1" si="7"/>
        <v>P</v>
      </c>
      <c r="O23" s="90" t="str">
        <f t="shared" ca="1" si="7"/>
        <v/>
      </c>
      <c r="P23" s="90" t="str">
        <f t="shared" ca="1" si="7"/>
        <v>P</v>
      </c>
      <c r="Q23" s="90" t="str">
        <f t="shared" ca="1" si="7"/>
        <v/>
      </c>
      <c r="R23" s="90" t="str">
        <f t="shared" ca="1" si="7"/>
        <v>P</v>
      </c>
      <c r="S23" s="90" t="str">
        <f t="shared" ca="1" si="7"/>
        <v/>
      </c>
      <c r="T23" s="90" t="str">
        <f t="shared" ca="1" si="7"/>
        <v>G</v>
      </c>
      <c r="U23" s="90" t="str">
        <f t="shared" ca="1" si="7"/>
        <v/>
      </c>
      <c r="V23" s="90" t="str">
        <f t="shared" ca="1" si="7"/>
        <v/>
      </c>
      <c r="W23" s="90" t="str">
        <f t="shared" ca="1" si="7"/>
        <v>P</v>
      </c>
      <c r="X23" s="90" t="str">
        <f t="shared" ca="1" si="7"/>
        <v/>
      </c>
      <c r="Y23" s="90" t="str">
        <f t="shared" ca="1" si="7"/>
        <v/>
      </c>
      <c r="Z23" s="90" t="str">
        <f t="shared" ca="1" si="7"/>
        <v/>
      </c>
      <c r="AA23" s="90" t="str">
        <f t="shared" ca="1" si="7"/>
        <v>G</v>
      </c>
      <c r="AB23" s="90" t="str">
        <f t="shared" ca="1" si="7"/>
        <v/>
      </c>
      <c r="AC23" s="90" t="str">
        <f t="shared" ca="1" si="7"/>
        <v/>
      </c>
      <c r="AD23" s="90" t="str">
        <f t="shared" ca="1" si="7"/>
        <v/>
      </c>
      <c r="AE23" s="90" t="str">
        <f t="shared" ca="1" si="7"/>
        <v/>
      </c>
      <c r="AF23" s="90" t="str">
        <f t="shared" ca="1" si="7"/>
        <v/>
      </c>
      <c r="AG23" s="90" t="str">
        <f t="shared" ca="1" si="7"/>
        <v/>
      </c>
      <c r="AH23" s="90" t="str">
        <f t="shared" ca="1" si="7"/>
        <v/>
      </c>
      <c r="AI23" s="90" t="str">
        <f t="shared" ca="1" si="7"/>
        <v/>
      </c>
      <c r="AJ23" s="90" t="str">
        <f t="shared" ca="1" si="7"/>
        <v/>
      </c>
      <c r="AK23" s="90" t="str">
        <f t="shared" ca="1" si="7"/>
        <v/>
      </c>
      <c r="AL23" s="90" t="str">
        <f t="shared" ca="1" si="7"/>
        <v/>
      </c>
      <c r="AM23" s="68">
        <f ca="1">COUNTIF($E23:$AL23,"G")</f>
        <v>3</v>
      </c>
      <c r="AN23" s="68">
        <f ca="1">COUNTIF($E23:$AL23,"N")</f>
        <v>1</v>
      </c>
      <c r="AO23" s="68">
        <f ca="1">COUNTIF($E23:$AL23,"P")</f>
        <v>7</v>
      </c>
    </row>
    <row r="24" spans="3:41" x14ac:dyDescent="0.25">
      <c r="C24" s="168"/>
      <c r="D24" s="71" t="s">
        <v>162</v>
      </c>
      <c r="E24" s="90" t="str">
        <f t="shared" ref="E24:T40" ca="1" si="8">IFERROR(VLOOKUP($D24,INDIRECT("exterieur_"&amp;E$22),8,0),"")</f>
        <v/>
      </c>
      <c r="F24" s="90" t="str">
        <f t="shared" ca="1" si="7"/>
        <v>N</v>
      </c>
      <c r="G24" s="90" t="str">
        <f t="shared" ca="1" si="7"/>
        <v/>
      </c>
      <c r="H24" s="90" t="str">
        <f t="shared" ca="1" si="7"/>
        <v/>
      </c>
      <c r="I24" s="90" t="str">
        <f t="shared" ca="1" si="7"/>
        <v>P</v>
      </c>
      <c r="J24" s="90" t="str">
        <f t="shared" ca="1" si="7"/>
        <v/>
      </c>
      <c r="K24" s="90" t="str">
        <f t="shared" ca="1" si="7"/>
        <v>P</v>
      </c>
      <c r="L24" s="90" t="str">
        <f t="shared" ca="1" si="7"/>
        <v/>
      </c>
      <c r="M24" s="90" t="str">
        <f t="shared" ca="1" si="7"/>
        <v>P</v>
      </c>
      <c r="N24" s="90" t="str">
        <f t="shared" ca="1" si="7"/>
        <v/>
      </c>
      <c r="O24" s="90" t="str">
        <f t="shared" ca="1" si="7"/>
        <v>G</v>
      </c>
      <c r="P24" s="90" t="str">
        <f t="shared" ca="1" si="7"/>
        <v/>
      </c>
      <c r="Q24" s="90" t="str">
        <f t="shared" ca="1" si="7"/>
        <v>P</v>
      </c>
      <c r="R24" s="90" t="str">
        <f t="shared" ca="1" si="7"/>
        <v/>
      </c>
      <c r="S24" s="90" t="str">
        <f t="shared" ca="1" si="7"/>
        <v>N</v>
      </c>
      <c r="T24" s="90" t="str">
        <f t="shared" ca="1" si="7"/>
        <v/>
      </c>
      <c r="U24" s="90" t="str">
        <f t="shared" ca="1" si="7"/>
        <v>P</v>
      </c>
      <c r="V24" s="90" t="str">
        <f t="shared" ca="1" si="7"/>
        <v>P</v>
      </c>
      <c r="W24" s="90" t="str">
        <f t="shared" ca="1" si="7"/>
        <v/>
      </c>
      <c r="X24" s="90" t="str">
        <f t="shared" ca="1" si="7"/>
        <v>P</v>
      </c>
      <c r="Y24" s="90" t="str">
        <f t="shared" ca="1" si="7"/>
        <v>G</v>
      </c>
      <c r="Z24" s="90" t="str">
        <f t="shared" ca="1" si="7"/>
        <v/>
      </c>
      <c r="AA24" s="90" t="str">
        <f t="shared" ca="1" si="7"/>
        <v>G</v>
      </c>
      <c r="AB24" s="90" t="str">
        <f t="shared" ca="1" si="7"/>
        <v/>
      </c>
      <c r="AC24" s="90" t="str">
        <f t="shared" ca="1" si="7"/>
        <v/>
      </c>
      <c r="AD24" s="90" t="str">
        <f t="shared" ca="1" si="7"/>
        <v/>
      </c>
      <c r="AE24" s="90" t="str">
        <f t="shared" ca="1" si="7"/>
        <v/>
      </c>
      <c r="AF24" s="90" t="str">
        <f t="shared" ca="1" si="7"/>
        <v/>
      </c>
      <c r="AG24" s="90" t="str">
        <f t="shared" ca="1" si="7"/>
        <v/>
      </c>
      <c r="AH24" s="90" t="str">
        <f t="shared" ca="1" si="7"/>
        <v/>
      </c>
      <c r="AI24" s="90" t="str">
        <f t="shared" ca="1" si="7"/>
        <v/>
      </c>
      <c r="AJ24" s="90" t="str">
        <f t="shared" ca="1" si="7"/>
        <v/>
      </c>
      <c r="AK24" s="90" t="str">
        <f t="shared" ca="1" si="7"/>
        <v/>
      </c>
      <c r="AL24" s="90" t="str">
        <f t="shared" ca="1" si="7"/>
        <v/>
      </c>
      <c r="AM24" s="68">
        <f t="shared" ref="AM24:AM40" ca="1" si="9">COUNTIF($E24:$AL24,"G")</f>
        <v>3</v>
      </c>
      <c r="AN24" s="68">
        <f t="shared" ref="AN24:AN40" ca="1" si="10">COUNTIF($E24:$AL24,"N")</f>
        <v>2</v>
      </c>
      <c r="AO24" s="68">
        <f t="shared" ref="AO24:AO40" ca="1" si="11">COUNTIF($E24:$AL24,"P")</f>
        <v>7</v>
      </c>
    </row>
    <row r="25" spans="3:41" x14ac:dyDescent="0.25">
      <c r="C25" s="168"/>
      <c r="D25" s="71" t="s">
        <v>90</v>
      </c>
      <c r="E25" s="90" t="str">
        <f t="shared" ca="1" si="8"/>
        <v>P</v>
      </c>
      <c r="F25" s="90" t="str">
        <f t="shared" ca="1" si="7"/>
        <v/>
      </c>
      <c r="G25" s="90" t="str">
        <f t="shared" ca="1" si="7"/>
        <v>P</v>
      </c>
      <c r="H25" s="90" t="str">
        <f t="shared" ca="1" si="7"/>
        <v/>
      </c>
      <c r="I25" s="90" t="str">
        <f t="shared" ca="1" si="7"/>
        <v>P</v>
      </c>
      <c r="J25" s="90" t="str">
        <f t="shared" ca="1" si="7"/>
        <v/>
      </c>
      <c r="K25" s="90" t="str">
        <f t="shared" ca="1" si="7"/>
        <v>G</v>
      </c>
      <c r="L25" s="90" t="str">
        <f t="shared" ca="1" si="7"/>
        <v>P</v>
      </c>
      <c r="M25" s="90" t="str">
        <f t="shared" ca="1" si="7"/>
        <v/>
      </c>
      <c r="N25" s="90" t="str">
        <f t="shared" ca="1" si="7"/>
        <v>P</v>
      </c>
      <c r="O25" s="90" t="str">
        <f t="shared" ca="1" si="7"/>
        <v/>
      </c>
      <c r="P25" s="90" t="str">
        <f t="shared" ca="1" si="7"/>
        <v>G</v>
      </c>
      <c r="Q25" s="90" t="str">
        <f t="shared" ca="1" si="7"/>
        <v/>
      </c>
      <c r="R25" s="90" t="str">
        <f t="shared" ca="1" si="7"/>
        <v>P</v>
      </c>
      <c r="S25" s="90" t="str">
        <f t="shared" ca="1" si="7"/>
        <v/>
      </c>
      <c r="T25" s="90" t="str">
        <f t="shared" ca="1" si="7"/>
        <v>G</v>
      </c>
      <c r="U25" s="90" t="str">
        <f t="shared" ca="1" si="7"/>
        <v/>
      </c>
      <c r="V25" s="90" t="str">
        <f t="shared" ca="1" si="7"/>
        <v/>
      </c>
      <c r="W25" s="90" t="str">
        <f t="shared" ca="1" si="7"/>
        <v>P</v>
      </c>
      <c r="X25" s="90" t="str">
        <f t="shared" ca="1" si="7"/>
        <v/>
      </c>
      <c r="Y25" s="90" t="str">
        <f t="shared" ca="1" si="7"/>
        <v>G</v>
      </c>
      <c r="Z25" s="90" t="str">
        <f t="shared" ca="1" si="7"/>
        <v/>
      </c>
      <c r="AA25" s="90" t="str">
        <f t="shared" ca="1" si="7"/>
        <v>P</v>
      </c>
      <c r="AB25" s="90" t="str">
        <f t="shared" ca="1" si="7"/>
        <v/>
      </c>
      <c r="AC25" s="90" t="str">
        <f t="shared" ca="1" si="7"/>
        <v/>
      </c>
      <c r="AD25" s="90" t="str">
        <f t="shared" ca="1" si="7"/>
        <v/>
      </c>
      <c r="AE25" s="90" t="str">
        <f t="shared" ca="1" si="7"/>
        <v/>
      </c>
      <c r="AF25" s="90" t="str">
        <f t="shared" ca="1" si="7"/>
        <v/>
      </c>
      <c r="AG25" s="90" t="str">
        <f t="shared" ca="1" si="7"/>
        <v/>
      </c>
      <c r="AH25" s="90" t="str">
        <f t="shared" ca="1" si="7"/>
        <v/>
      </c>
      <c r="AI25" s="90" t="str">
        <f t="shared" ca="1" si="7"/>
        <v/>
      </c>
      <c r="AJ25" s="90" t="str">
        <f t="shared" ca="1" si="7"/>
        <v/>
      </c>
      <c r="AK25" s="90" t="str">
        <f t="shared" ca="1" si="7"/>
        <v/>
      </c>
      <c r="AL25" s="90" t="str">
        <f t="shared" ca="1" si="7"/>
        <v/>
      </c>
      <c r="AM25" s="68">
        <f t="shared" ca="1" si="9"/>
        <v>4</v>
      </c>
      <c r="AN25" s="68">
        <f t="shared" ca="1" si="10"/>
        <v>0</v>
      </c>
      <c r="AO25" s="68">
        <f t="shared" ca="1" si="11"/>
        <v>8</v>
      </c>
    </row>
    <row r="26" spans="3:41" x14ac:dyDescent="0.25">
      <c r="C26" s="168"/>
      <c r="D26" s="71" t="s">
        <v>86</v>
      </c>
      <c r="E26" s="90" t="str">
        <f t="shared" ca="1" si="8"/>
        <v>P</v>
      </c>
      <c r="F26" s="90" t="str">
        <f t="shared" ca="1" si="7"/>
        <v/>
      </c>
      <c r="G26" s="90" t="str">
        <f t="shared" ca="1" si="7"/>
        <v>N</v>
      </c>
      <c r="H26" s="90" t="str">
        <f t="shared" ca="1" si="7"/>
        <v/>
      </c>
      <c r="I26" s="90" t="str">
        <f t="shared" ca="1" si="7"/>
        <v>N</v>
      </c>
      <c r="J26" s="90" t="str">
        <f t="shared" ca="1" si="7"/>
        <v/>
      </c>
      <c r="K26" s="90" t="str">
        <f t="shared" ca="1" si="7"/>
        <v>G</v>
      </c>
      <c r="L26" s="90" t="str">
        <f t="shared" ca="1" si="7"/>
        <v/>
      </c>
      <c r="M26" s="90" t="str">
        <f t="shared" ca="1" si="7"/>
        <v>G</v>
      </c>
      <c r="N26" s="90" t="str">
        <f t="shared" ca="1" si="7"/>
        <v/>
      </c>
      <c r="O26" s="90" t="str">
        <f t="shared" ca="1" si="7"/>
        <v>G</v>
      </c>
      <c r="P26" s="90" t="str">
        <f t="shared" ca="1" si="7"/>
        <v/>
      </c>
      <c r="Q26" s="90" t="str">
        <f t="shared" ca="1" si="7"/>
        <v/>
      </c>
      <c r="R26" s="90" t="str">
        <f t="shared" ca="1" si="7"/>
        <v>P</v>
      </c>
      <c r="S26" s="90" t="str">
        <f t="shared" ca="1" si="7"/>
        <v/>
      </c>
      <c r="T26" s="90" t="str">
        <f t="shared" ca="1" si="7"/>
        <v>G</v>
      </c>
      <c r="U26" s="90" t="str">
        <f t="shared" ca="1" si="7"/>
        <v/>
      </c>
      <c r="V26" s="90" t="str">
        <f t="shared" ca="1" si="7"/>
        <v/>
      </c>
      <c r="W26" s="90" t="str">
        <f t="shared" ca="1" si="7"/>
        <v>G</v>
      </c>
      <c r="X26" s="90" t="str">
        <f t="shared" ca="1" si="7"/>
        <v/>
      </c>
      <c r="Y26" s="90" t="str">
        <f t="shared" ca="1" si="7"/>
        <v>P</v>
      </c>
      <c r="Z26" s="90" t="str">
        <f t="shared" ca="1" si="7"/>
        <v/>
      </c>
      <c r="AA26" s="90" t="str">
        <f t="shared" ca="1" si="7"/>
        <v>N</v>
      </c>
      <c r="AB26" s="90" t="str">
        <f t="shared" ca="1" si="7"/>
        <v/>
      </c>
      <c r="AC26" s="90" t="str">
        <f t="shared" ca="1" si="7"/>
        <v/>
      </c>
      <c r="AD26" s="90" t="str">
        <f t="shared" ca="1" si="7"/>
        <v/>
      </c>
      <c r="AE26" s="90" t="str">
        <f t="shared" ca="1" si="7"/>
        <v/>
      </c>
      <c r="AF26" s="90" t="str">
        <f t="shared" ca="1" si="7"/>
        <v/>
      </c>
      <c r="AG26" s="90" t="str">
        <f t="shared" ca="1" si="7"/>
        <v/>
      </c>
      <c r="AH26" s="90" t="str">
        <f t="shared" ca="1" si="7"/>
        <v/>
      </c>
      <c r="AI26" s="90" t="str">
        <f t="shared" ca="1" si="7"/>
        <v/>
      </c>
      <c r="AJ26" s="90" t="str">
        <f t="shared" ca="1" si="7"/>
        <v/>
      </c>
      <c r="AK26" s="90" t="str">
        <f t="shared" ca="1" si="7"/>
        <v/>
      </c>
      <c r="AL26" s="90" t="str">
        <f t="shared" ca="1" si="7"/>
        <v/>
      </c>
      <c r="AM26" s="68">
        <f t="shared" ca="1" si="9"/>
        <v>5</v>
      </c>
      <c r="AN26" s="68">
        <f t="shared" ca="1" si="10"/>
        <v>3</v>
      </c>
      <c r="AO26" s="68">
        <f t="shared" ca="1" si="11"/>
        <v>3</v>
      </c>
    </row>
    <row r="27" spans="3:41" x14ac:dyDescent="0.25">
      <c r="C27" s="168"/>
      <c r="D27" s="71" t="s">
        <v>83</v>
      </c>
      <c r="E27" s="90" t="str">
        <f t="shared" ca="1" si="8"/>
        <v/>
      </c>
      <c r="F27" s="90" t="str">
        <f t="shared" ca="1" si="7"/>
        <v>G</v>
      </c>
      <c r="G27" s="90" t="str">
        <f t="shared" ca="1" si="7"/>
        <v/>
      </c>
      <c r="H27" s="90" t="str">
        <f t="shared" ca="1" si="7"/>
        <v>P</v>
      </c>
      <c r="I27" s="90" t="str">
        <f t="shared" ca="1" si="7"/>
        <v/>
      </c>
      <c r="J27" s="90" t="str">
        <f t="shared" ca="1" si="7"/>
        <v>G</v>
      </c>
      <c r="K27" s="90" t="str">
        <f t="shared" ca="1" si="7"/>
        <v/>
      </c>
      <c r="L27" s="90" t="str">
        <f t="shared" ca="1" si="7"/>
        <v>P</v>
      </c>
      <c r="M27" s="90" t="str">
        <f t="shared" ca="1" si="7"/>
        <v/>
      </c>
      <c r="N27" s="90" t="str">
        <f t="shared" ca="1" si="7"/>
        <v/>
      </c>
      <c r="O27" s="90" t="str">
        <f t="shared" ca="1" si="7"/>
        <v>G</v>
      </c>
      <c r="P27" s="90" t="str">
        <f t="shared" ca="1" si="7"/>
        <v/>
      </c>
      <c r="Q27" s="90" t="str">
        <f t="shared" ca="1" si="7"/>
        <v>G</v>
      </c>
      <c r="R27" s="90" t="str">
        <f t="shared" ca="1" si="7"/>
        <v/>
      </c>
      <c r="S27" s="90" t="str">
        <f t="shared" ca="1" si="7"/>
        <v>P</v>
      </c>
      <c r="T27" s="90" t="str">
        <f t="shared" ca="1" si="7"/>
        <v/>
      </c>
      <c r="U27" s="90" t="str">
        <f t="shared" ca="1" si="7"/>
        <v>G</v>
      </c>
      <c r="V27" s="90" t="str">
        <f t="shared" ca="1" si="7"/>
        <v>G</v>
      </c>
      <c r="W27" s="90" t="str">
        <f t="shared" ca="1" si="7"/>
        <v/>
      </c>
      <c r="X27" s="90" t="str">
        <f t="shared" ca="1" si="7"/>
        <v>P</v>
      </c>
      <c r="Y27" s="90" t="str">
        <f t="shared" ca="1" si="7"/>
        <v/>
      </c>
      <c r="Z27" s="90" t="str">
        <f t="shared" ca="1" si="7"/>
        <v>G</v>
      </c>
      <c r="AA27" s="90" t="str">
        <f t="shared" ca="1" si="7"/>
        <v/>
      </c>
      <c r="AB27" s="90" t="str">
        <f t="shared" ca="1" si="7"/>
        <v>N</v>
      </c>
      <c r="AC27" s="90" t="str">
        <f t="shared" ca="1" si="7"/>
        <v/>
      </c>
      <c r="AD27" s="90" t="str">
        <f t="shared" ca="1" si="7"/>
        <v/>
      </c>
      <c r="AE27" s="90" t="str">
        <f t="shared" ca="1" si="7"/>
        <v/>
      </c>
      <c r="AF27" s="90" t="str">
        <f t="shared" ca="1" si="7"/>
        <v/>
      </c>
      <c r="AG27" s="90" t="str">
        <f t="shared" ca="1" si="7"/>
        <v/>
      </c>
      <c r="AH27" s="90" t="str">
        <f t="shared" ca="1" si="7"/>
        <v/>
      </c>
      <c r="AI27" s="90" t="str">
        <f t="shared" ca="1" si="7"/>
        <v/>
      </c>
      <c r="AJ27" s="90" t="str">
        <f t="shared" ca="1" si="7"/>
        <v/>
      </c>
      <c r="AK27" s="90" t="str">
        <f t="shared" ca="1" si="7"/>
        <v/>
      </c>
      <c r="AL27" s="90" t="str">
        <f t="shared" ca="1" si="7"/>
        <v/>
      </c>
      <c r="AM27" s="68">
        <f t="shared" ca="1" si="9"/>
        <v>7</v>
      </c>
      <c r="AN27" s="68">
        <f t="shared" ca="1" si="10"/>
        <v>1</v>
      </c>
      <c r="AO27" s="68">
        <f t="shared" ca="1" si="11"/>
        <v>4</v>
      </c>
    </row>
    <row r="28" spans="3:41" x14ac:dyDescent="0.25">
      <c r="C28" s="168"/>
      <c r="D28" s="71" t="s">
        <v>79</v>
      </c>
      <c r="E28" s="90" t="str">
        <f t="shared" ca="1" si="8"/>
        <v/>
      </c>
      <c r="F28" s="90" t="str">
        <f t="shared" ca="1" si="7"/>
        <v>G</v>
      </c>
      <c r="G28" s="90" t="str">
        <f t="shared" ca="1" si="7"/>
        <v/>
      </c>
      <c r="H28" s="90" t="str">
        <f t="shared" ca="1" si="7"/>
        <v>N</v>
      </c>
      <c r="I28" s="90" t="str">
        <f t="shared" ca="1" si="7"/>
        <v/>
      </c>
      <c r="J28" s="90" t="str">
        <f t="shared" ca="1" si="7"/>
        <v>G</v>
      </c>
      <c r="K28" s="90" t="str">
        <f t="shared" ca="1" si="7"/>
        <v/>
      </c>
      <c r="L28" s="90" t="str">
        <f t="shared" ca="1" si="7"/>
        <v>N</v>
      </c>
      <c r="M28" s="90" t="str">
        <f t="shared" ca="1" si="7"/>
        <v/>
      </c>
      <c r="N28" s="90" t="str">
        <f t="shared" ca="1" si="7"/>
        <v>P</v>
      </c>
      <c r="O28" s="90" t="str">
        <f t="shared" ca="1" si="7"/>
        <v/>
      </c>
      <c r="P28" s="90" t="str">
        <f t="shared" ca="1" si="7"/>
        <v>G</v>
      </c>
      <c r="Q28" s="90" t="str">
        <f t="shared" ca="1" si="7"/>
        <v/>
      </c>
      <c r="R28" s="90" t="str">
        <f t="shared" ca="1" si="7"/>
        <v>P</v>
      </c>
      <c r="S28" s="90" t="str">
        <f t="shared" ca="1" si="7"/>
        <v/>
      </c>
      <c r="T28" s="90" t="str">
        <f t="shared" ca="1" si="7"/>
        <v>G</v>
      </c>
      <c r="U28" s="90" t="str">
        <f t="shared" ca="1" si="7"/>
        <v/>
      </c>
      <c r="V28" s="90" t="str">
        <f t="shared" ca="1" si="7"/>
        <v>G</v>
      </c>
      <c r="W28" s="90" t="str">
        <f t="shared" ca="1" si="7"/>
        <v/>
      </c>
      <c r="X28" s="90" t="str">
        <f t="shared" ca="1" si="7"/>
        <v>G</v>
      </c>
      <c r="Y28" s="90" t="str">
        <f t="shared" ca="1" si="7"/>
        <v/>
      </c>
      <c r="Z28" s="90" t="str">
        <f t="shared" ca="1" si="7"/>
        <v>G</v>
      </c>
      <c r="AA28" s="90" t="str">
        <f t="shared" ca="1" si="7"/>
        <v/>
      </c>
      <c r="AB28" s="90" t="str">
        <f t="shared" ca="1" si="7"/>
        <v>G</v>
      </c>
      <c r="AC28" s="90" t="str">
        <f t="shared" ca="1" si="7"/>
        <v/>
      </c>
      <c r="AD28" s="90" t="str">
        <f t="shared" ca="1" si="7"/>
        <v/>
      </c>
      <c r="AE28" s="90" t="str">
        <f t="shared" ca="1" si="7"/>
        <v/>
      </c>
      <c r="AF28" s="90" t="str">
        <f t="shared" ca="1" si="7"/>
        <v/>
      </c>
      <c r="AG28" s="90" t="str">
        <f t="shared" ca="1" si="7"/>
        <v/>
      </c>
      <c r="AH28" s="90" t="str">
        <f t="shared" ca="1" si="7"/>
        <v/>
      </c>
      <c r="AI28" s="90" t="str">
        <f t="shared" ca="1" si="7"/>
        <v/>
      </c>
      <c r="AJ28" s="90" t="str">
        <f t="shared" ca="1" si="7"/>
        <v/>
      </c>
      <c r="AK28" s="90" t="str">
        <f t="shared" ca="1" si="7"/>
        <v/>
      </c>
      <c r="AL28" s="90" t="str">
        <f t="shared" ca="1" si="7"/>
        <v/>
      </c>
      <c r="AM28" s="68">
        <f t="shared" ca="1" si="9"/>
        <v>8</v>
      </c>
      <c r="AN28" s="68">
        <f t="shared" ca="1" si="10"/>
        <v>2</v>
      </c>
      <c r="AO28" s="68">
        <f t="shared" ca="1" si="11"/>
        <v>2</v>
      </c>
    </row>
    <row r="29" spans="3:41" x14ac:dyDescent="0.25">
      <c r="C29" s="168"/>
      <c r="D29" s="71" t="s">
        <v>82</v>
      </c>
      <c r="E29" s="90" t="str">
        <f t="shared" ca="1" si="8"/>
        <v/>
      </c>
      <c r="F29" s="90" t="str">
        <f t="shared" ca="1" si="7"/>
        <v>G</v>
      </c>
      <c r="G29" s="90" t="str">
        <f t="shared" ca="1" si="7"/>
        <v/>
      </c>
      <c r="H29" s="90" t="str">
        <f t="shared" ca="1" si="7"/>
        <v>G</v>
      </c>
      <c r="I29" s="90" t="str">
        <f t="shared" ca="1" si="7"/>
        <v/>
      </c>
      <c r="J29" s="90" t="str">
        <f t="shared" ca="1" si="7"/>
        <v>G</v>
      </c>
      <c r="K29" s="90" t="str">
        <f t="shared" ca="1" si="7"/>
        <v/>
      </c>
      <c r="L29" s="90" t="str">
        <f t="shared" ca="1" si="7"/>
        <v>P</v>
      </c>
      <c r="M29" s="90" t="str">
        <f t="shared" ca="1" si="7"/>
        <v/>
      </c>
      <c r="N29" s="90" t="str">
        <f t="shared" ca="1" si="7"/>
        <v>G</v>
      </c>
      <c r="O29" s="90" t="str">
        <f t="shared" ca="1" si="7"/>
        <v/>
      </c>
      <c r="P29" s="90" t="str">
        <f t="shared" ca="1" si="7"/>
        <v>P</v>
      </c>
      <c r="Q29" s="90" t="str">
        <f t="shared" ca="1" si="7"/>
        <v/>
      </c>
      <c r="R29" s="90" t="str">
        <f t="shared" ca="1" si="7"/>
        <v/>
      </c>
      <c r="S29" s="90" t="str">
        <f t="shared" ca="1" si="7"/>
        <v>P</v>
      </c>
      <c r="T29" s="90" t="str">
        <f t="shared" ca="1" si="7"/>
        <v/>
      </c>
      <c r="U29" s="90" t="str">
        <f t="shared" ca="1" si="7"/>
        <v>N</v>
      </c>
      <c r="V29" s="90" t="str">
        <f t="shared" ca="1" si="7"/>
        <v>P</v>
      </c>
      <c r="W29" s="90" t="str">
        <f t="shared" ca="1" si="7"/>
        <v/>
      </c>
      <c r="X29" s="90" t="str">
        <f t="shared" ca="1" si="7"/>
        <v>N</v>
      </c>
      <c r="Y29" s="90" t="str">
        <f t="shared" ca="1" si="7"/>
        <v/>
      </c>
      <c r="Z29" s="90" t="str">
        <f t="shared" ca="1" si="7"/>
        <v>G</v>
      </c>
      <c r="AA29" s="90" t="str">
        <f t="shared" ca="1" si="7"/>
        <v/>
      </c>
      <c r="AB29" s="90" t="str">
        <f t="shared" ca="1" si="7"/>
        <v>G</v>
      </c>
      <c r="AC29" s="90" t="str">
        <f t="shared" ca="1" si="7"/>
        <v/>
      </c>
      <c r="AD29" s="90" t="str">
        <f t="shared" ca="1" si="7"/>
        <v/>
      </c>
      <c r="AE29" s="90" t="str">
        <f t="shared" ca="1" si="7"/>
        <v/>
      </c>
      <c r="AF29" s="90" t="str">
        <f t="shared" ca="1" si="7"/>
        <v/>
      </c>
      <c r="AG29" s="90" t="str">
        <f t="shared" ca="1" si="7"/>
        <v/>
      </c>
      <c r="AH29" s="90" t="str">
        <f t="shared" ca="1" si="7"/>
        <v/>
      </c>
      <c r="AI29" s="90" t="str">
        <f t="shared" ca="1" si="7"/>
        <v/>
      </c>
      <c r="AJ29" s="90" t="str">
        <f t="shared" ca="1" si="7"/>
        <v/>
      </c>
      <c r="AK29" s="90" t="str">
        <f t="shared" ca="1" si="7"/>
        <v/>
      </c>
      <c r="AL29" s="90" t="str">
        <f t="shared" ca="1" si="7"/>
        <v/>
      </c>
      <c r="AM29" s="68">
        <f t="shared" ca="1" si="9"/>
        <v>6</v>
      </c>
      <c r="AN29" s="68">
        <f t="shared" ca="1" si="10"/>
        <v>2</v>
      </c>
      <c r="AO29" s="68">
        <f t="shared" ca="1" si="11"/>
        <v>4</v>
      </c>
    </row>
    <row r="30" spans="3:41" x14ac:dyDescent="0.25">
      <c r="C30" s="168"/>
      <c r="D30" s="71" t="s">
        <v>80</v>
      </c>
      <c r="E30" s="90" t="str">
        <f t="shared" ca="1" si="8"/>
        <v/>
      </c>
      <c r="F30" s="90" t="str">
        <f t="shared" ca="1" si="7"/>
        <v>G</v>
      </c>
      <c r="G30" s="90" t="str">
        <f t="shared" ca="1" si="7"/>
        <v>P</v>
      </c>
      <c r="H30" s="90" t="str">
        <f t="shared" ca="1" si="7"/>
        <v/>
      </c>
      <c r="I30" s="90" t="str">
        <f t="shared" ca="1" si="7"/>
        <v>N</v>
      </c>
      <c r="J30" s="90" t="str">
        <f t="shared" ca="1" si="7"/>
        <v/>
      </c>
      <c r="K30" s="90" t="str">
        <f t="shared" ca="1" si="7"/>
        <v>N</v>
      </c>
      <c r="L30" s="90" t="str">
        <f t="shared" ca="1" si="7"/>
        <v/>
      </c>
      <c r="M30" s="90" t="str">
        <f t="shared" ca="1" si="7"/>
        <v>N</v>
      </c>
      <c r="N30" s="90" t="str">
        <f t="shared" ca="1" si="7"/>
        <v/>
      </c>
      <c r="O30" s="90" t="str">
        <f t="shared" ca="1" si="7"/>
        <v>P</v>
      </c>
      <c r="P30" s="90" t="str">
        <f t="shared" ca="1" si="7"/>
        <v/>
      </c>
      <c r="Q30" s="90" t="str">
        <f t="shared" ca="1" si="7"/>
        <v>G</v>
      </c>
      <c r="R30" s="90" t="str">
        <f t="shared" ca="1" si="7"/>
        <v/>
      </c>
      <c r="S30" s="90" t="str">
        <f t="shared" ca="1" si="7"/>
        <v>G</v>
      </c>
      <c r="T30" s="90" t="str">
        <f t="shared" ca="1" si="7"/>
        <v/>
      </c>
      <c r="U30" s="90" t="str">
        <f t="shared" ca="1" si="7"/>
        <v>P</v>
      </c>
      <c r="V30" s="90" t="str">
        <f t="shared" ca="1" si="7"/>
        <v>G</v>
      </c>
      <c r="W30" s="90" t="str">
        <f t="shared" ca="1" si="7"/>
        <v/>
      </c>
      <c r="X30" s="90" t="str">
        <f t="shared" ca="1" si="7"/>
        <v/>
      </c>
      <c r="Y30" s="90" t="str">
        <f t="shared" ca="1" si="7"/>
        <v>P</v>
      </c>
      <c r="Z30" s="90" t="str">
        <f t="shared" ca="1" si="7"/>
        <v/>
      </c>
      <c r="AA30" s="90" t="str">
        <f t="shared" ca="1" si="7"/>
        <v>G</v>
      </c>
      <c r="AB30" s="90" t="str">
        <f t="shared" ca="1" si="7"/>
        <v/>
      </c>
      <c r="AC30" s="90" t="str">
        <f t="shared" ca="1" si="7"/>
        <v/>
      </c>
      <c r="AD30" s="90" t="str">
        <f t="shared" ref="AD30:AL40" ca="1" si="12">IFERROR(VLOOKUP($D30,INDIRECT("exterieur_"&amp;AD$22),8,0),"")</f>
        <v/>
      </c>
      <c r="AE30" s="90" t="str">
        <f t="shared" ca="1" si="12"/>
        <v/>
      </c>
      <c r="AF30" s="90" t="str">
        <f t="shared" ca="1" si="12"/>
        <v/>
      </c>
      <c r="AG30" s="90" t="str">
        <f t="shared" ca="1" si="12"/>
        <v/>
      </c>
      <c r="AH30" s="90" t="str">
        <f t="shared" ca="1" si="12"/>
        <v/>
      </c>
      <c r="AI30" s="90" t="str">
        <f t="shared" ca="1" si="12"/>
        <v/>
      </c>
      <c r="AJ30" s="90" t="str">
        <f t="shared" ca="1" si="12"/>
        <v/>
      </c>
      <c r="AK30" s="90" t="str">
        <f t="shared" ca="1" si="12"/>
        <v/>
      </c>
      <c r="AL30" s="90" t="str">
        <f t="shared" ca="1" si="12"/>
        <v/>
      </c>
      <c r="AM30" s="68">
        <f t="shared" ca="1" si="9"/>
        <v>5</v>
      </c>
      <c r="AN30" s="68">
        <f t="shared" ca="1" si="10"/>
        <v>3</v>
      </c>
      <c r="AO30" s="68">
        <f t="shared" ca="1" si="11"/>
        <v>4</v>
      </c>
    </row>
    <row r="31" spans="3:41" x14ac:dyDescent="0.25">
      <c r="C31" s="168"/>
      <c r="D31" s="71" t="s">
        <v>84</v>
      </c>
      <c r="E31" s="90" t="str">
        <f t="shared" ca="1" si="8"/>
        <v/>
      </c>
      <c r="F31" s="90" t="str">
        <f t="shared" ca="1" si="8"/>
        <v>P</v>
      </c>
      <c r="G31" s="90" t="str">
        <f t="shared" ca="1" si="8"/>
        <v/>
      </c>
      <c r="H31" s="90" t="str">
        <f t="shared" ca="1" si="8"/>
        <v>P</v>
      </c>
      <c r="I31" s="90" t="str">
        <f t="shared" ca="1" si="8"/>
        <v/>
      </c>
      <c r="J31" s="90" t="str">
        <f t="shared" ca="1" si="8"/>
        <v>G</v>
      </c>
      <c r="K31" s="90" t="str">
        <f t="shared" ca="1" si="8"/>
        <v/>
      </c>
      <c r="L31" s="90" t="str">
        <f t="shared" ca="1" si="8"/>
        <v/>
      </c>
      <c r="M31" s="90" t="str">
        <f t="shared" ca="1" si="8"/>
        <v>P</v>
      </c>
      <c r="N31" s="90" t="str">
        <f t="shared" ca="1" si="8"/>
        <v/>
      </c>
      <c r="O31" s="90" t="str">
        <f t="shared" ca="1" si="8"/>
        <v>P</v>
      </c>
      <c r="P31" s="90" t="str">
        <f t="shared" ca="1" si="8"/>
        <v/>
      </c>
      <c r="Q31" s="90" t="str">
        <f t="shared" ca="1" si="8"/>
        <v>P</v>
      </c>
      <c r="R31" s="90" t="str">
        <f t="shared" ca="1" si="8"/>
        <v/>
      </c>
      <c r="S31" s="90" t="str">
        <f t="shared" ca="1" si="8"/>
        <v>P</v>
      </c>
      <c r="T31" s="90" t="str">
        <f t="shared" ca="1" si="8"/>
        <v/>
      </c>
      <c r="U31" s="90" t="str">
        <f t="shared" ref="U31:AJ40" ca="1" si="13">IFERROR(VLOOKUP($D31,INDIRECT("exterieur_"&amp;U$22),8,0),"")</f>
        <v>P</v>
      </c>
      <c r="V31" s="90" t="str">
        <f t="shared" ca="1" si="13"/>
        <v>G</v>
      </c>
      <c r="W31" s="90" t="str">
        <f t="shared" ca="1" si="13"/>
        <v/>
      </c>
      <c r="X31" s="90" t="str">
        <f t="shared" ca="1" si="13"/>
        <v>N</v>
      </c>
      <c r="Y31" s="90" t="str">
        <f t="shared" ca="1" si="13"/>
        <v/>
      </c>
      <c r="Z31" s="90" t="str">
        <f t="shared" ca="1" si="13"/>
        <v>P</v>
      </c>
      <c r="AA31" s="90" t="str">
        <f t="shared" ca="1" si="13"/>
        <v/>
      </c>
      <c r="AB31" s="90" t="str">
        <f t="shared" ca="1" si="13"/>
        <v/>
      </c>
      <c r="AC31" s="90" t="str">
        <f t="shared" ca="1" si="13"/>
        <v/>
      </c>
      <c r="AD31" s="90" t="str">
        <f t="shared" ca="1" si="13"/>
        <v/>
      </c>
      <c r="AE31" s="90" t="str">
        <f t="shared" ca="1" si="13"/>
        <v/>
      </c>
      <c r="AF31" s="90" t="str">
        <f t="shared" ca="1" si="13"/>
        <v/>
      </c>
      <c r="AG31" s="90" t="str">
        <f t="shared" ca="1" si="13"/>
        <v/>
      </c>
      <c r="AH31" s="90" t="str">
        <f t="shared" ca="1" si="13"/>
        <v/>
      </c>
      <c r="AI31" s="90" t="str">
        <f t="shared" ca="1" si="13"/>
        <v/>
      </c>
      <c r="AJ31" s="90" t="str">
        <f t="shared" ca="1" si="13"/>
        <v/>
      </c>
      <c r="AK31" s="90" t="str">
        <f t="shared" ca="1" si="12"/>
        <v/>
      </c>
      <c r="AL31" s="90" t="str">
        <f t="shared" ca="1" si="12"/>
        <v/>
      </c>
      <c r="AM31" s="68">
        <f t="shared" ca="1" si="9"/>
        <v>2</v>
      </c>
      <c r="AN31" s="68">
        <f t="shared" ca="1" si="10"/>
        <v>1</v>
      </c>
      <c r="AO31" s="68">
        <f t="shared" ca="1" si="11"/>
        <v>8</v>
      </c>
    </row>
    <row r="32" spans="3:41" x14ac:dyDescent="0.25">
      <c r="C32" s="168"/>
      <c r="D32" s="71" t="s">
        <v>92</v>
      </c>
      <c r="E32" s="90" t="str">
        <f t="shared" ca="1" si="8"/>
        <v>P</v>
      </c>
      <c r="F32" s="90" t="str">
        <f t="shared" ca="1" si="8"/>
        <v/>
      </c>
      <c r="G32" s="90" t="str">
        <f t="shared" ca="1" si="8"/>
        <v>P</v>
      </c>
      <c r="H32" s="90" t="str">
        <f t="shared" ca="1" si="8"/>
        <v/>
      </c>
      <c r="I32" s="90" t="str">
        <f t="shared" ca="1" si="8"/>
        <v>N</v>
      </c>
      <c r="J32" s="90" t="str">
        <f t="shared" ca="1" si="8"/>
        <v/>
      </c>
      <c r="K32" s="90" t="str">
        <f t="shared" ca="1" si="8"/>
        <v>P</v>
      </c>
      <c r="L32" s="90" t="str">
        <f t="shared" ca="1" si="8"/>
        <v/>
      </c>
      <c r="M32" s="90" t="str">
        <f t="shared" ca="1" si="8"/>
        <v>N</v>
      </c>
      <c r="N32" s="90" t="str">
        <f t="shared" ca="1" si="8"/>
        <v/>
      </c>
      <c r="O32" s="90" t="str">
        <f t="shared" ca="1" si="8"/>
        <v>G</v>
      </c>
      <c r="P32" s="90" t="str">
        <f t="shared" ca="1" si="8"/>
        <v/>
      </c>
      <c r="Q32" s="90" t="str">
        <f t="shared" ca="1" si="8"/>
        <v>N</v>
      </c>
      <c r="R32" s="90" t="str">
        <f t="shared" ca="1" si="8"/>
        <v/>
      </c>
      <c r="S32" s="90" t="str">
        <f t="shared" ca="1" si="8"/>
        <v>G</v>
      </c>
      <c r="T32" s="90" t="str">
        <f t="shared" ca="1" si="8"/>
        <v/>
      </c>
      <c r="U32" s="90" t="str">
        <f t="shared" ca="1" si="13"/>
        <v>P</v>
      </c>
      <c r="V32" s="90" t="str">
        <f t="shared" ca="1" si="13"/>
        <v/>
      </c>
      <c r="W32" s="90" t="str">
        <f t="shared" ca="1" si="13"/>
        <v>P</v>
      </c>
      <c r="X32" s="90" t="str">
        <f t="shared" ca="1" si="13"/>
        <v/>
      </c>
      <c r="Y32" s="90" t="str">
        <f t="shared" ca="1" si="13"/>
        <v>P</v>
      </c>
      <c r="Z32" s="90" t="str">
        <f t="shared" ca="1" si="13"/>
        <v/>
      </c>
      <c r="AA32" s="90" t="str">
        <f t="shared" ca="1" si="13"/>
        <v>P</v>
      </c>
      <c r="AB32" s="90" t="str">
        <f t="shared" ca="1" si="13"/>
        <v/>
      </c>
      <c r="AC32" s="90" t="str">
        <f t="shared" ca="1" si="13"/>
        <v/>
      </c>
      <c r="AD32" s="90" t="str">
        <f t="shared" ca="1" si="13"/>
        <v/>
      </c>
      <c r="AE32" s="90" t="str">
        <f t="shared" ca="1" si="13"/>
        <v/>
      </c>
      <c r="AF32" s="90" t="str">
        <f t="shared" ca="1" si="13"/>
        <v/>
      </c>
      <c r="AG32" s="90" t="str">
        <f t="shared" ca="1" si="13"/>
        <v/>
      </c>
      <c r="AH32" s="90" t="str">
        <f t="shared" ca="1" si="13"/>
        <v/>
      </c>
      <c r="AI32" s="90" t="str">
        <f t="shared" ca="1" si="13"/>
        <v/>
      </c>
      <c r="AJ32" s="90" t="str">
        <f t="shared" ca="1" si="13"/>
        <v/>
      </c>
      <c r="AK32" s="90" t="str">
        <f t="shared" ca="1" si="12"/>
        <v/>
      </c>
      <c r="AL32" s="90" t="str">
        <f t="shared" ca="1" si="12"/>
        <v/>
      </c>
      <c r="AM32" s="68">
        <f t="shared" ca="1" si="9"/>
        <v>2</v>
      </c>
      <c r="AN32" s="68">
        <f t="shared" ca="1" si="10"/>
        <v>3</v>
      </c>
      <c r="AO32" s="68">
        <f t="shared" ca="1" si="11"/>
        <v>7</v>
      </c>
    </row>
    <row r="33" spans="3:41" x14ac:dyDescent="0.25">
      <c r="C33" s="168"/>
      <c r="D33" s="71" t="s">
        <v>93</v>
      </c>
      <c r="E33" s="90" t="str">
        <f t="shared" ca="1" si="8"/>
        <v>N</v>
      </c>
      <c r="F33" s="90" t="str">
        <f t="shared" ca="1" si="8"/>
        <v/>
      </c>
      <c r="G33" s="90" t="str">
        <f t="shared" ca="1" si="8"/>
        <v/>
      </c>
      <c r="H33" s="90" t="str">
        <f t="shared" ca="1" si="8"/>
        <v>G</v>
      </c>
      <c r="I33" s="90" t="str">
        <f t="shared" ca="1" si="8"/>
        <v/>
      </c>
      <c r="J33" s="90" t="str">
        <f t="shared" ca="1" si="8"/>
        <v>G</v>
      </c>
      <c r="K33" s="90" t="str">
        <f t="shared" ca="1" si="8"/>
        <v/>
      </c>
      <c r="L33" s="90" t="str">
        <f t="shared" ca="1" si="8"/>
        <v>P</v>
      </c>
      <c r="M33" s="90" t="str">
        <f t="shared" ca="1" si="8"/>
        <v/>
      </c>
      <c r="N33" s="90" t="str">
        <f t="shared" ca="1" si="8"/>
        <v>G</v>
      </c>
      <c r="O33" s="90" t="str">
        <f t="shared" ca="1" si="8"/>
        <v/>
      </c>
      <c r="P33" s="90" t="str">
        <f t="shared" ca="1" si="8"/>
        <v>G</v>
      </c>
      <c r="Q33" s="90" t="str">
        <f t="shared" ca="1" si="8"/>
        <v/>
      </c>
      <c r="R33" s="90" t="str">
        <f t="shared" ca="1" si="8"/>
        <v>P</v>
      </c>
      <c r="S33" s="90" t="str">
        <f t="shared" ca="1" si="8"/>
        <v/>
      </c>
      <c r="T33" s="90" t="str">
        <f t="shared" ca="1" si="8"/>
        <v>N</v>
      </c>
      <c r="U33" s="90" t="str">
        <f t="shared" ca="1" si="13"/>
        <v/>
      </c>
      <c r="V33" s="90" t="str">
        <f t="shared" ca="1" si="13"/>
        <v/>
      </c>
      <c r="W33" s="90" t="str">
        <f t="shared" ca="1" si="13"/>
        <v>P</v>
      </c>
      <c r="X33" s="90" t="str">
        <f t="shared" ca="1" si="13"/>
        <v>N</v>
      </c>
      <c r="Y33" s="90" t="str">
        <f t="shared" ca="1" si="13"/>
        <v/>
      </c>
      <c r="Z33" s="90" t="str">
        <f t="shared" ca="1" si="13"/>
        <v>N</v>
      </c>
      <c r="AA33" s="90" t="str">
        <f t="shared" ca="1" si="13"/>
        <v/>
      </c>
      <c r="AB33" s="90" t="str">
        <f t="shared" ca="1" si="13"/>
        <v>P</v>
      </c>
      <c r="AC33" s="90" t="str">
        <f t="shared" ca="1" si="13"/>
        <v/>
      </c>
      <c r="AD33" s="90" t="str">
        <f t="shared" ca="1" si="13"/>
        <v/>
      </c>
      <c r="AE33" s="90" t="str">
        <f t="shared" ca="1" si="13"/>
        <v/>
      </c>
      <c r="AF33" s="90" t="str">
        <f t="shared" ca="1" si="13"/>
        <v/>
      </c>
      <c r="AG33" s="90" t="str">
        <f t="shared" ca="1" si="13"/>
        <v/>
      </c>
      <c r="AH33" s="90" t="str">
        <f t="shared" ca="1" si="13"/>
        <v/>
      </c>
      <c r="AI33" s="90" t="str">
        <f t="shared" ca="1" si="13"/>
        <v/>
      </c>
      <c r="AJ33" s="90" t="str">
        <f t="shared" ca="1" si="13"/>
        <v/>
      </c>
      <c r="AK33" s="90" t="str">
        <f t="shared" ca="1" si="12"/>
        <v/>
      </c>
      <c r="AL33" s="90" t="str">
        <f t="shared" ca="1" si="12"/>
        <v/>
      </c>
      <c r="AM33" s="68">
        <f t="shared" ca="1" si="9"/>
        <v>4</v>
      </c>
      <c r="AN33" s="68">
        <f t="shared" ca="1" si="10"/>
        <v>4</v>
      </c>
      <c r="AO33" s="68">
        <f t="shared" ca="1" si="11"/>
        <v>4</v>
      </c>
    </row>
    <row r="34" spans="3:41" x14ac:dyDescent="0.25">
      <c r="C34" s="168"/>
      <c r="D34" s="71" t="s">
        <v>89</v>
      </c>
      <c r="E34" s="90" t="str">
        <f t="shared" ca="1" si="8"/>
        <v>G</v>
      </c>
      <c r="F34" s="90" t="str">
        <f t="shared" ca="1" si="8"/>
        <v/>
      </c>
      <c r="G34" s="90" t="str">
        <f t="shared" ca="1" si="8"/>
        <v>P</v>
      </c>
      <c r="H34" s="90" t="str">
        <f t="shared" ca="1" si="8"/>
        <v/>
      </c>
      <c r="I34" s="90" t="str">
        <f t="shared" ca="1" si="8"/>
        <v>P</v>
      </c>
      <c r="J34" s="90" t="str">
        <f t="shared" ca="1" si="8"/>
        <v/>
      </c>
      <c r="K34" s="90" t="str">
        <f t="shared" ca="1" si="8"/>
        <v>P</v>
      </c>
      <c r="L34" s="90" t="str">
        <f t="shared" ca="1" si="8"/>
        <v/>
      </c>
      <c r="M34" s="90" t="str">
        <f t="shared" ca="1" si="8"/>
        <v>P</v>
      </c>
      <c r="N34" s="90" t="str">
        <f t="shared" ca="1" si="8"/>
        <v/>
      </c>
      <c r="O34" s="90" t="str">
        <f t="shared" ca="1" si="8"/>
        <v>N</v>
      </c>
      <c r="P34" s="90" t="str">
        <f t="shared" ca="1" si="8"/>
        <v/>
      </c>
      <c r="Q34" s="90" t="str">
        <f t="shared" ca="1" si="8"/>
        <v>N</v>
      </c>
      <c r="R34" s="90" t="str">
        <f t="shared" ca="1" si="8"/>
        <v>P</v>
      </c>
      <c r="S34" s="90" t="str">
        <f t="shared" ca="1" si="8"/>
        <v/>
      </c>
      <c r="T34" s="90" t="str">
        <f t="shared" ca="1" si="8"/>
        <v>P</v>
      </c>
      <c r="U34" s="90" t="str">
        <f t="shared" ca="1" si="13"/>
        <v/>
      </c>
      <c r="V34" s="90" t="str">
        <f t="shared" ca="1" si="13"/>
        <v/>
      </c>
      <c r="W34" s="90" t="str">
        <f t="shared" ca="1" si="13"/>
        <v>P</v>
      </c>
      <c r="X34" s="90" t="str">
        <f t="shared" ca="1" si="13"/>
        <v/>
      </c>
      <c r="Y34" s="90" t="str">
        <f t="shared" ca="1" si="13"/>
        <v>N</v>
      </c>
      <c r="Z34" s="90" t="str">
        <f t="shared" ca="1" si="13"/>
        <v/>
      </c>
      <c r="AA34" s="90" t="str">
        <f t="shared" ca="1" si="13"/>
        <v>G</v>
      </c>
      <c r="AB34" s="90" t="str">
        <f t="shared" ca="1" si="13"/>
        <v/>
      </c>
      <c r="AC34" s="90" t="str">
        <f t="shared" ca="1" si="13"/>
        <v/>
      </c>
      <c r="AD34" s="90" t="str">
        <f t="shared" ca="1" si="13"/>
        <v/>
      </c>
      <c r="AE34" s="90" t="str">
        <f t="shared" ca="1" si="13"/>
        <v/>
      </c>
      <c r="AF34" s="90" t="str">
        <f t="shared" ca="1" si="13"/>
        <v/>
      </c>
      <c r="AG34" s="90" t="str">
        <f t="shared" ca="1" si="13"/>
        <v/>
      </c>
      <c r="AH34" s="90" t="str">
        <f t="shared" ca="1" si="13"/>
        <v/>
      </c>
      <c r="AI34" s="90" t="str">
        <f t="shared" ca="1" si="13"/>
        <v/>
      </c>
      <c r="AJ34" s="90" t="str">
        <f t="shared" ca="1" si="13"/>
        <v/>
      </c>
      <c r="AK34" s="90" t="str">
        <f t="shared" ca="1" si="12"/>
        <v/>
      </c>
      <c r="AL34" s="90" t="str">
        <f t="shared" ca="1" si="12"/>
        <v/>
      </c>
      <c r="AM34" s="68">
        <f t="shared" ca="1" si="9"/>
        <v>2</v>
      </c>
      <c r="AN34" s="68">
        <f t="shared" ca="1" si="10"/>
        <v>3</v>
      </c>
      <c r="AO34" s="68">
        <f t="shared" ca="1" si="11"/>
        <v>7</v>
      </c>
    </row>
    <row r="35" spans="3:41" x14ac:dyDescent="0.25">
      <c r="C35" s="168"/>
      <c r="D35" s="71" t="s">
        <v>88</v>
      </c>
      <c r="E35" s="90" t="str">
        <f t="shared" ca="1" si="8"/>
        <v>N</v>
      </c>
      <c r="F35" s="90" t="str">
        <f t="shared" ca="1" si="8"/>
        <v/>
      </c>
      <c r="G35" s="90" t="str">
        <f t="shared" ca="1" si="8"/>
        <v>P</v>
      </c>
      <c r="H35" s="90" t="str">
        <f t="shared" ca="1" si="8"/>
        <v>P</v>
      </c>
      <c r="I35" s="90" t="str">
        <f t="shared" ca="1" si="8"/>
        <v/>
      </c>
      <c r="J35" s="90" t="str">
        <f t="shared" ca="1" si="8"/>
        <v>G</v>
      </c>
      <c r="K35" s="90" t="str">
        <f t="shared" ca="1" si="8"/>
        <v/>
      </c>
      <c r="L35" s="90" t="str">
        <f t="shared" ca="1" si="8"/>
        <v>N</v>
      </c>
      <c r="M35" s="90" t="str">
        <f t="shared" ca="1" si="8"/>
        <v/>
      </c>
      <c r="N35" s="90" t="str">
        <f t="shared" ca="1" si="8"/>
        <v>P</v>
      </c>
      <c r="O35" s="90" t="str">
        <f t="shared" ca="1" si="8"/>
        <v/>
      </c>
      <c r="P35" s="90" t="str">
        <f t="shared" ca="1" si="8"/>
        <v>P</v>
      </c>
      <c r="Q35" s="90" t="str">
        <f t="shared" ca="1" si="8"/>
        <v/>
      </c>
      <c r="R35" s="90" t="str">
        <f t="shared" ca="1" si="8"/>
        <v>N</v>
      </c>
      <c r="S35" s="90" t="str">
        <f t="shared" ca="1" si="8"/>
        <v/>
      </c>
      <c r="T35" s="90" t="str">
        <f t="shared" ca="1" si="8"/>
        <v>G</v>
      </c>
      <c r="U35" s="90" t="str">
        <f t="shared" ca="1" si="13"/>
        <v/>
      </c>
      <c r="V35" s="90" t="str">
        <f t="shared" ca="1" si="13"/>
        <v/>
      </c>
      <c r="W35" s="90" t="str">
        <f t="shared" ca="1" si="13"/>
        <v>G</v>
      </c>
      <c r="X35" s="90" t="str">
        <f t="shared" ca="1" si="13"/>
        <v/>
      </c>
      <c r="Y35" s="90" t="str">
        <f t="shared" ca="1" si="13"/>
        <v/>
      </c>
      <c r="Z35" s="90" t="str">
        <f t="shared" ca="1" si="13"/>
        <v>G</v>
      </c>
      <c r="AA35" s="90" t="str">
        <f t="shared" ca="1" si="13"/>
        <v/>
      </c>
      <c r="AB35" s="90" t="str">
        <f t="shared" ca="1" si="13"/>
        <v>N</v>
      </c>
      <c r="AC35" s="90" t="str">
        <f t="shared" ca="1" si="13"/>
        <v/>
      </c>
      <c r="AD35" s="90" t="str">
        <f t="shared" ca="1" si="13"/>
        <v/>
      </c>
      <c r="AE35" s="90" t="str">
        <f t="shared" ca="1" si="13"/>
        <v/>
      </c>
      <c r="AF35" s="90" t="str">
        <f t="shared" ca="1" si="13"/>
        <v/>
      </c>
      <c r="AG35" s="90" t="str">
        <f t="shared" ca="1" si="13"/>
        <v/>
      </c>
      <c r="AH35" s="90" t="str">
        <f t="shared" ca="1" si="13"/>
        <v/>
      </c>
      <c r="AI35" s="90" t="str">
        <f t="shared" ca="1" si="13"/>
        <v/>
      </c>
      <c r="AJ35" s="90" t="str">
        <f t="shared" ca="1" si="13"/>
        <v/>
      </c>
      <c r="AK35" s="90" t="str">
        <f t="shared" ca="1" si="12"/>
        <v/>
      </c>
      <c r="AL35" s="90" t="str">
        <f t="shared" ca="1" si="12"/>
        <v/>
      </c>
      <c r="AM35" s="68">
        <f t="shared" ca="1" si="9"/>
        <v>4</v>
      </c>
      <c r="AN35" s="68">
        <f t="shared" ca="1" si="10"/>
        <v>4</v>
      </c>
      <c r="AO35" s="68">
        <f t="shared" ca="1" si="11"/>
        <v>4</v>
      </c>
    </row>
    <row r="36" spans="3:41" x14ac:dyDescent="0.25">
      <c r="C36" s="168"/>
      <c r="D36" s="71" t="s">
        <v>81</v>
      </c>
      <c r="E36" s="90" t="str">
        <f t="shared" ca="1" si="8"/>
        <v>G</v>
      </c>
      <c r="F36" s="90" t="str">
        <f t="shared" ca="1" si="8"/>
        <v/>
      </c>
      <c r="G36" s="90" t="str">
        <f t="shared" ca="1" si="8"/>
        <v>G</v>
      </c>
      <c r="H36" s="90" t="str">
        <f t="shared" ca="1" si="8"/>
        <v/>
      </c>
      <c r="I36" s="90" t="str">
        <f t="shared" ca="1" si="8"/>
        <v>G</v>
      </c>
      <c r="J36" s="90" t="str">
        <f t="shared" ca="1" si="8"/>
        <v/>
      </c>
      <c r="K36" s="90" t="str">
        <f t="shared" ca="1" si="8"/>
        <v>N</v>
      </c>
      <c r="L36" s="90" t="str">
        <f t="shared" ca="1" si="8"/>
        <v/>
      </c>
      <c r="M36" s="90" t="str">
        <f t="shared" ca="1" si="8"/>
        <v>P</v>
      </c>
      <c r="N36" s="90" t="str">
        <f t="shared" ca="1" si="8"/>
        <v/>
      </c>
      <c r="O36" s="90" t="str">
        <f t="shared" ca="1" si="8"/>
        <v>G</v>
      </c>
      <c r="P36" s="90" t="str">
        <f t="shared" ca="1" si="8"/>
        <v/>
      </c>
      <c r="Q36" s="90" t="str">
        <f t="shared" ca="1" si="8"/>
        <v>G</v>
      </c>
      <c r="R36" s="90" t="str">
        <f t="shared" ca="1" si="8"/>
        <v/>
      </c>
      <c r="S36" s="90" t="str">
        <f t="shared" ca="1" si="8"/>
        <v>G</v>
      </c>
      <c r="T36" s="90" t="str">
        <f t="shared" ca="1" si="8"/>
        <v>N</v>
      </c>
      <c r="U36" s="90" t="str">
        <f t="shared" ca="1" si="13"/>
        <v/>
      </c>
      <c r="V36" s="90" t="str">
        <f t="shared" ca="1" si="13"/>
        <v/>
      </c>
      <c r="W36" s="90" t="str">
        <f t="shared" ca="1" si="13"/>
        <v>P</v>
      </c>
      <c r="X36" s="90" t="str">
        <f t="shared" ca="1" si="13"/>
        <v/>
      </c>
      <c r="Y36" s="90" t="str">
        <f t="shared" ca="1" si="13"/>
        <v>N</v>
      </c>
      <c r="Z36" s="90" t="str">
        <f t="shared" ca="1" si="13"/>
        <v/>
      </c>
      <c r="AA36" s="90" t="str">
        <f t="shared" ca="1" si="13"/>
        <v>G</v>
      </c>
      <c r="AB36" s="90" t="str">
        <f t="shared" ca="1" si="13"/>
        <v/>
      </c>
      <c r="AC36" s="90" t="str">
        <f t="shared" ca="1" si="13"/>
        <v/>
      </c>
      <c r="AD36" s="90" t="str">
        <f t="shared" ca="1" si="13"/>
        <v/>
      </c>
      <c r="AE36" s="90" t="str">
        <f t="shared" ca="1" si="13"/>
        <v/>
      </c>
      <c r="AF36" s="90" t="str">
        <f t="shared" ca="1" si="13"/>
        <v/>
      </c>
      <c r="AG36" s="90" t="str">
        <f t="shared" ca="1" si="13"/>
        <v/>
      </c>
      <c r="AH36" s="90" t="str">
        <f t="shared" ca="1" si="13"/>
        <v/>
      </c>
      <c r="AI36" s="90" t="str">
        <f t="shared" ca="1" si="13"/>
        <v/>
      </c>
      <c r="AJ36" s="90" t="str">
        <f t="shared" ca="1" si="13"/>
        <v/>
      </c>
      <c r="AK36" s="90" t="str">
        <f t="shared" ca="1" si="12"/>
        <v/>
      </c>
      <c r="AL36" s="90" t="str">
        <f t="shared" ca="1" si="12"/>
        <v/>
      </c>
      <c r="AM36" s="68">
        <f t="shared" ca="1" si="9"/>
        <v>7</v>
      </c>
      <c r="AN36" s="68">
        <f t="shared" ca="1" si="10"/>
        <v>3</v>
      </c>
      <c r="AO36" s="68">
        <f t="shared" ca="1" si="11"/>
        <v>2</v>
      </c>
    </row>
    <row r="37" spans="3:41" x14ac:dyDescent="0.25">
      <c r="C37" s="168"/>
      <c r="D37" s="71" t="s">
        <v>91</v>
      </c>
      <c r="E37" s="90" t="str">
        <f t="shared" ca="1" si="8"/>
        <v/>
      </c>
      <c r="F37" s="90" t="str">
        <f t="shared" ca="1" si="8"/>
        <v>G</v>
      </c>
      <c r="G37" s="90" t="str">
        <f t="shared" ca="1" si="8"/>
        <v/>
      </c>
      <c r="H37" s="90" t="str">
        <f t="shared" ca="1" si="8"/>
        <v>G</v>
      </c>
      <c r="I37" s="90" t="str">
        <f t="shared" ca="1" si="8"/>
        <v/>
      </c>
      <c r="J37" s="90" t="str">
        <f t="shared" ca="1" si="8"/>
        <v>G</v>
      </c>
      <c r="K37" s="90" t="str">
        <f t="shared" ca="1" si="8"/>
        <v/>
      </c>
      <c r="L37" s="90" t="str">
        <f t="shared" ca="1" si="8"/>
        <v>P</v>
      </c>
      <c r="M37" s="90" t="str">
        <f t="shared" ca="1" si="8"/>
        <v/>
      </c>
      <c r="N37" s="90" t="str">
        <f t="shared" ca="1" si="8"/>
        <v>N</v>
      </c>
      <c r="O37" s="90" t="str">
        <f t="shared" ca="1" si="8"/>
        <v/>
      </c>
      <c r="P37" s="90" t="str">
        <f t="shared" ca="1" si="8"/>
        <v>N</v>
      </c>
      <c r="Q37" s="90" t="str">
        <f t="shared" ca="1" si="8"/>
        <v>P</v>
      </c>
      <c r="R37" s="90" t="str">
        <f t="shared" ca="1" si="8"/>
        <v/>
      </c>
      <c r="S37" s="90" t="str">
        <f t="shared" ca="1" si="8"/>
        <v>P</v>
      </c>
      <c r="T37" s="90" t="str">
        <f t="shared" ca="1" si="8"/>
        <v/>
      </c>
      <c r="U37" s="90" t="str">
        <f t="shared" ca="1" si="13"/>
        <v>N</v>
      </c>
      <c r="V37" s="90" t="str">
        <f t="shared" ca="1" si="13"/>
        <v>G</v>
      </c>
      <c r="W37" s="90" t="str">
        <f t="shared" ca="1" si="13"/>
        <v/>
      </c>
      <c r="X37" s="90" t="str">
        <f t="shared" ca="1" si="13"/>
        <v>P</v>
      </c>
      <c r="Y37" s="90" t="str">
        <f t="shared" ca="1" si="13"/>
        <v/>
      </c>
      <c r="Z37" s="90" t="str">
        <f t="shared" ca="1" si="13"/>
        <v>N</v>
      </c>
      <c r="AA37" s="90" t="str">
        <f t="shared" ca="1" si="13"/>
        <v/>
      </c>
      <c r="AB37" s="90" t="str">
        <f t="shared" ca="1" si="13"/>
        <v>P</v>
      </c>
      <c r="AC37" s="90" t="str">
        <f t="shared" ca="1" si="13"/>
        <v/>
      </c>
      <c r="AD37" s="90" t="str">
        <f t="shared" ca="1" si="13"/>
        <v/>
      </c>
      <c r="AE37" s="90" t="str">
        <f t="shared" ca="1" si="13"/>
        <v/>
      </c>
      <c r="AF37" s="90" t="str">
        <f t="shared" ca="1" si="13"/>
        <v/>
      </c>
      <c r="AG37" s="90" t="str">
        <f t="shared" ca="1" si="13"/>
        <v/>
      </c>
      <c r="AH37" s="90" t="str">
        <f t="shared" ca="1" si="13"/>
        <v/>
      </c>
      <c r="AI37" s="90" t="str">
        <f t="shared" ca="1" si="13"/>
        <v/>
      </c>
      <c r="AJ37" s="90" t="str">
        <f t="shared" ca="1" si="13"/>
        <v/>
      </c>
      <c r="AK37" s="90" t="str">
        <f t="shared" ca="1" si="12"/>
        <v/>
      </c>
      <c r="AL37" s="90" t="str">
        <f t="shared" ca="1" si="12"/>
        <v/>
      </c>
      <c r="AM37" s="68">
        <f t="shared" ca="1" si="9"/>
        <v>4</v>
      </c>
      <c r="AN37" s="68">
        <f t="shared" ca="1" si="10"/>
        <v>4</v>
      </c>
      <c r="AO37" s="68">
        <f t="shared" ca="1" si="11"/>
        <v>5</v>
      </c>
    </row>
    <row r="38" spans="3:41" x14ac:dyDescent="0.25">
      <c r="C38" s="168"/>
      <c r="D38" s="71" t="s">
        <v>148</v>
      </c>
      <c r="E38" s="90" t="str">
        <f t="shared" ca="1" si="8"/>
        <v>P</v>
      </c>
      <c r="F38" s="90" t="str">
        <f t="shared" ca="1" si="8"/>
        <v/>
      </c>
      <c r="G38" s="90" t="str">
        <f t="shared" ca="1" si="8"/>
        <v>N</v>
      </c>
      <c r="H38" s="90" t="str">
        <f t="shared" ca="1" si="8"/>
        <v/>
      </c>
      <c r="I38" s="90" t="str">
        <f t="shared" ca="1" si="8"/>
        <v>P</v>
      </c>
      <c r="J38" s="90" t="str">
        <f t="shared" ca="1" si="8"/>
        <v/>
      </c>
      <c r="K38" s="90" t="str">
        <f t="shared" ca="1" si="8"/>
        <v/>
      </c>
      <c r="L38" s="90" t="str">
        <f t="shared" ca="1" si="8"/>
        <v>P</v>
      </c>
      <c r="M38" s="90" t="str">
        <f t="shared" ca="1" si="8"/>
        <v/>
      </c>
      <c r="N38" s="90" t="str">
        <f t="shared" ca="1" si="8"/>
        <v>P</v>
      </c>
      <c r="O38" s="90" t="str">
        <f t="shared" ca="1" si="8"/>
        <v/>
      </c>
      <c r="P38" s="90" t="str">
        <f t="shared" ca="1" si="8"/>
        <v>N</v>
      </c>
      <c r="Q38" s="90" t="str">
        <f t="shared" ca="1" si="8"/>
        <v/>
      </c>
      <c r="R38" s="90" t="str">
        <f t="shared" ca="1" si="8"/>
        <v>G</v>
      </c>
      <c r="S38" s="90" t="str">
        <f t="shared" ca="1" si="8"/>
        <v/>
      </c>
      <c r="T38" s="90" t="str">
        <f t="shared" ca="1" si="8"/>
        <v>P</v>
      </c>
      <c r="U38" s="90" t="str">
        <f t="shared" ca="1" si="13"/>
        <v/>
      </c>
      <c r="V38" s="90" t="str">
        <f t="shared" ca="1" si="13"/>
        <v/>
      </c>
      <c r="W38" s="90" t="str">
        <f t="shared" ca="1" si="13"/>
        <v>G</v>
      </c>
      <c r="X38" s="90" t="str">
        <f t="shared" ca="1" si="13"/>
        <v/>
      </c>
      <c r="Y38" s="90" t="str">
        <f t="shared" ca="1" si="13"/>
        <v>N</v>
      </c>
      <c r="Z38" s="90" t="str">
        <f t="shared" ca="1" si="13"/>
        <v/>
      </c>
      <c r="AA38" s="90" t="str">
        <f t="shared" ca="1" si="13"/>
        <v>P</v>
      </c>
      <c r="AB38" s="90" t="str">
        <f t="shared" ca="1" si="13"/>
        <v>P</v>
      </c>
      <c r="AC38" s="90" t="str">
        <f t="shared" ca="1" si="13"/>
        <v/>
      </c>
      <c r="AD38" s="90" t="str">
        <f t="shared" ca="1" si="13"/>
        <v/>
      </c>
      <c r="AE38" s="90" t="str">
        <f t="shared" ca="1" si="13"/>
        <v/>
      </c>
      <c r="AF38" s="90" t="str">
        <f t="shared" ca="1" si="13"/>
        <v/>
      </c>
      <c r="AG38" s="90" t="str">
        <f t="shared" ca="1" si="13"/>
        <v/>
      </c>
      <c r="AH38" s="90" t="str">
        <f t="shared" ca="1" si="13"/>
        <v/>
      </c>
      <c r="AI38" s="90" t="str">
        <f t="shared" ca="1" si="13"/>
        <v/>
      </c>
      <c r="AJ38" s="90" t="str">
        <f t="shared" ca="1" si="13"/>
        <v/>
      </c>
      <c r="AK38" s="90" t="str">
        <f t="shared" ca="1" si="12"/>
        <v/>
      </c>
      <c r="AL38" s="90" t="str">
        <f t="shared" ca="1" si="12"/>
        <v/>
      </c>
      <c r="AM38" s="68">
        <f t="shared" ca="1" si="9"/>
        <v>2</v>
      </c>
      <c r="AN38" s="68">
        <f t="shared" ca="1" si="10"/>
        <v>3</v>
      </c>
      <c r="AO38" s="68">
        <f t="shared" ca="1" si="11"/>
        <v>7</v>
      </c>
    </row>
    <row r="39" spans="3:41" x14ac:dyDescent="0.25">
      <c r="C39" s="168"/>
      <c r="D39" s="71" t="s">
        <v>85</v>
      </c>
      <c r="E39" s="90" t="str">
        <f t="shared" ca="1" si="8"/>
        <v/>
      </c>
      <c r="F39" s="90" t="str">
        <f t="shared" ca="1" si="8"/>
        <v>G</v>
      </c>
      <c r="G39" s="90" t="str">
        <f t="shared" ca="1" si="8"/>
        <v/>
      </c>
      <c r="H39" s="90" t="str">
        <f t="shared" ca="1" si="8"/>
        <v>N</v>
      </c>
      <c r="I39" s="90" t="str">
        <f t="shared" ca="1" si="8"/>
        <v/>
      </c>
      <c r="J39" s="90" t="str">
        <f t="shared" ca="1" si="8"/>
        <v>G</v>
      </c>
      <c r="K39" s="90" t="str">
        <f t="shared" ca="1" si="8"/>
        <v/>
      </c>
      <c r="L39" s="90" t="str">
        <f t="shared" ca="1" si="8"/>
        <v>N</v>
      </c>
      <c r="M39" s="90" t="str">
        <f t="shared" ca="1" si="8"/>
        <v/>
      </c>
      <c r="N39" s="90" t="str">
        <f t="shared" ca="1" si="8"/>
        <v>P</v>
      </c>
      <c r="O39" s="90" t="str">
        <f t="shared" ca="1" si="8"/>
        <v/>
      </c>
      <c r="P39" s="90" t="str">
        <f t="shared" ca="1" si="8"/>
        <v>G</v>
      </c>
      <c r="Q39" s="90" t="str">
        <f t="shared" ca="1" si="8"/>
        <v/>
      </c>
      <c r="R39" s="90" t="str">
        <f t="shared" ca="1" si="8"/>
        <v>P</v>
      </c>
      <c r="S39" s="90" t="str">
        <f t="shared" ca="1" si="8"/>
        <v/>
      </c>
      <c r="T39" s="90" t="str">
        <f t="shared" ca="1" si="8"/>
        <v/>
      </c>
      <c r="U39" s="90" t="str">
        <f t="shared" ca="1" si="13"/>
        <v>P</v>
      </c>
      <c r="V39" s="90" t="str">
        <f t="shared" ca="1" si="13"/>
        <v>P</v>
      </c>
      <c r="W39" s="90" t="str">
        <f t="shared" ca="1" si="13"/>
        <v/>
      </c>
      <c r="X39" s="90" t="str">
        <f t="shared" ca="1" si="13"/>
        <v>G</v>
      </c>
      <c r="Y39" s="90" t="str">
        <f t="shared" ca="1" si="13"/>
        <v/>
      </c>
      <c r="Z39" s="90" t="str">
        <f t="shared" ca="1" si="13"/>
        <v>G</v>
      </c>
      <c r="AA39" s="90" t="str">
        <f t="shared" ca="1" si="13"/>
        <v/>
      </c>
      <c r="AB39" s="90" t="str">
        <f t="shared" ca="1" si="13"/>
        <v>N</v>
      </c>
      <c r="AC39" s="90" t="str">
        <f t="shared" ca="1" si="13"/>
        <v/>
      </c>
      <c r="AD39" s="90" t="str">
        <f t="shared" ca="1" si="13"/>
        <v/>
      </c>
      <c r="AE39" s="90" t="str">
        <f t="shared" ca="1" si="13"/>
        <v/>
      </c>
      <c r="AF39" s="90" t="str">
        <f t="shared" ca="1" si="13"/>
        <v/>
      </c>
      <c r="AG39" s="90" t="str">
        <f t="shared" ca="1" si="13"/>
        <v/>
      </c>
      <c r="AH39" s="90" t="str">
        <f t="shared" ca="1" si="13"/>
        <v/>
      </c>
      <c r="AI39" s="90" t="str">
        <f t="shared" ca="1" si="13"/>
        <v/>
      </c>
      <c r="AJ39" s="90" t="str">
        <f t="shared" ca="1" si="13"/>
        <v/>
      </c>
      <c r="AK39" s="90" t="str">
        <f t="shared" ca="1" si="12"/>
        <v/>
      </c>
      <c r="AL39" s="90" t="str">
        <f t="shared" ca="1" si="12"/>
        <v/>
      </c>
      <c r="AM39" s="68">
        <f t="shared" ca="1" si="9"/>
        <v>5</v>
      </c>
      <c r="AN39" s="68">
        <f t="shared" ca="1" si="10"/>
        <v>3</v>
      </c>
      <c r="AO39" s="68">
        <f t="shared" ca="1" si="11"/>
        <v>4</v>
      </c>
    </row>
    <row r="40" spans="3:41" x14ac:dyDescent="0.25">
      <c r="C40" s="168"/>
      <c r="D40" s="71" t="s">
        <v>87</v>
      </c>
      <c r="E40" s="90" t="str">
        <f t="shared" ca="1" si="8"/>
        <v/>
      </c>
      <c r="F40" s="90" t="str">
        <f t="shared" ca="1" si="8"/>
        <v>P</v>
      </c>
      <c r="G40" s="90" t="str">
        <f t="shared" ca="1" si="8"/>
        <v/>
      </c>
      <c r="H40" s="90" t="str">
        <f t="shared" ca="1" si="8"/>
        <v>G</v>
      </c>
      <c r="I40" s="90" t="str">
        <f t="shared" ca="1" si="8"/>
        <v/>
      </c>
      <c r="J40" s="90" t="str">
        <f t="shared" ca="1" si="8"/>
        <v>N</v>
      </c>
      <c r="K40" s="90" t="str">
        <f t="shared" ca="1" si="8"/>
        <v>N</v>
      </c>
      <c r="L40" s="90" t="str">
        <f t="shared" ca="1" si="8"/>
        <v/>
      </c>
      <c r="M40" s="90" t="str">
        <f t="shared" ca="1" si="8"/>
        <v>N</v>
      </c>
      <c r="N40" s="90" t="str">
        <f t="shared" ca="1" si="8"/>
        <v/>
      </c>
      <c r="O40" s="90" t="str">
        <f t="shared" ca="1" si="8"/>
        <v>P</v>
      </c>
      <c r="P40" s="90" t="str">
        <f t="shared" ca="1" si="8"/>
        <v/>
      </c>
      <c r="Q40" s="90" t="str">
        <f t="shared" ca="1" si="8"/>
        <v>G</v>
      </c>
      <c r="R40" s="90" t="str">
        <f t="shared" ca="1" si="8"/>
        <v/>
      </c>
      <c r="S40" s="90" t="str">
        <f t="shared" ca="1" si="8"/>
        <v>P</v>
      </c>
      <c r="T40" s="90" t="str">
        <f t="shared" ca="1" si="8"/>
        <v/>
      </c>
      <c r="U40" s="90" t="str">
        <f t="shared" ca="1" si="13"/>
        <v>P</v>
      </c>
      <c r="V40" s="90" t="str">
        <f t="shared" ca="1" si="13"/>
        <v>G</v>
      </c>
      <c r="W40" s="90" t="str">
        <f t="shared" ca="1" si="13"/>
        <v/>
      </c>
      <c r="X40" s="90" t="str">
        <f t="shared" ca="1" si="13"/>
        <v>P</v>
      </c>
      <c r="Y40" s="90" t="str">
        <f t="shared" ca="1" si="13"/>
        <v/>
      </c>
      <c r="Z40" s="90" t="str">
        <f t="shared" ca="1" si="13"/>
        <v>P</v>
      </c>
      <c r="AA40" s="90" t="str">
        <f t="shared" ca="1" si="13"/>
        <v/>
      </c>
      <c r="AB40" s="90" t="str">
        <f t="shared" ca="1" si="13"/>
        <v/>
      </c>
      <c r="AC40" s="90" t="str">
        <f t="shared" ca="1" si="13"/>
        <v/>
      </c>
      <c r="AD40" s="90" t="str">
        <f t="shared" ca="1" si="13"/>
        <v/>
      </c>
      <c r="AE40" s="90" t="str">
        <f t="shared" ca="1" si="13"/>
        <v/>
      </c>
      <c r="AF40" s="90" t="str">
        <f t="shared" ca="1" si="13"/>
        <v/>
      </c>
      <c r="AG40" s="90" t="str">
        <f t="shared" ca="1" si="13"/>
        <v/>
      </c>
      <c r="AH40" s="90" t="str">
        <f t="shared" ca="1" si="13"/>
        <v/>
      </c>
      <c r="AI40" s="90" t="str">
        <f t="shared" ca="1" si="13"/>
        <v/>
      </c>
      <c r="AJ40" s="90" t="str">
        <f t="shared" ca="1" si="13"/>
        <v/>
      </c>
      <c r="AK40" s="90" t="str">
        <f t="shared" ca="1" si="12"/>
        <v/>
      </c>
      <c r="AL40" s="90" t="str">
        <f t="shared" ca="1" si="12"/>
        <v/>
      </c>
      <c r="AM40" s="68">
        <f t="shared" ca="1" si="9"/>
        <v>3</v>
      </c>
      <c r="AN40" s="68">
        <f t="shared" ca="1" si="10"/>
        <v>3</v>
      </c>
      <c r="AO40" s="68">
        <f t="shared" ca="1" si="11"/>
        <v>6</v>
      </c>
    </row>
  </sheetData>
  <mergeCells count="2">
    <mergeCell ref="C3:C20"/>
    <mergeCell ref="C23:C40"/>
  </mergeCells>
  <conditionalFormatting sqref="E3:AL20">
    <cfRule type="cellIs" dxfId="50" priority="4" operator="between">
      <formula>"P"</formula>
      <formula>"P"</formula>
    </cfRule>
    <cfRule type="cellIs" dxfId="49" priority="5" operator="between">
      <formula>"N"</formula>
      <formula>"N"</formula>
    </cfRule>
    <cfRule type="cellIs" dxfId="48" priority="6" operator="between">
      <formula>"G"</formula>
      <formula>"G"</formula>
    </cfRule>
  </conditionalFormatting>
  <conditionalFormatting sqref="E23:AL40">
    <cfRule type="cellIs" dxfId="47" priority="1" operator="between">
      <formula>"P"</formula>
      <formula>"P"</formula>
    </cfRule>
    <cfRule type="cellIs" dxfId="46" priority="2" operator="between">
      <formula>"N"</formula>
      <formula>"N"</formula>
    </cfRule>
    <cfRule type="cellIs" dxfId="45" priority="3" operator="between">
      <formula>"G"</formula>
      <formula>"G"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C1:AZ875"/>
  <sheetViews>
    <sheetView zoomScaleNormal="100" workbookViewId="0">
      <selection activeCell="B17" sqref="B17"/>
    </sheetView>
  </sheetViews>
  <sheetFormatPr baseColWidth="10" defaultRowHeight="15.75" x14ac:dyDescent="0.25"/>
  <cols>
    <col min="1" max="1" width="5.7109375" style="76" customWidth="1"/>
    <col min="2" max="2" width="10.140625" style="76" customWidth="1"/>
    <col min="3" max="3" width="5.7109375" style="91" customWidth="1"/>
    <col min="4" max="4" width="5.7109375" style="67" customWidth="1"/>
    <col min="5" max="6" width="25.7109375" style="67" customWidth="1"/>
    <col min="7" max="7" width="11.140625" style="67" customWidth="1"/>
    <col min="8" max="8" width="41.140625" style="67" customWidth="1"/>
    <col min="9" max="10" width="7.140625" style="67" customWidth="1"/>
    <col min="11" max="11" width="1.42578125" style="67" customWidth="1"/>
    <col min="12" max="13" width="7.140625" style="67" customWidth="1"/>
    <col min="14" max="14" width="2.140625" style="67" customWidth="1"/>
    <col min="15" max="15" width="5.7109375" style="76" customWidth="1"/>
    <col min="16" max="16" width="2.28515625" style="76" customWidth="1"/>
    <col min="17" max="17" width="5.7109375" style="76" customWidth="1"/>
    <col min="18" max="18" width="2.140625" style="76" customWidth="1"/>
    <col min="19" max="19" width="5.7109375" style="76" customWidth="1"/>
    <col min="20" max="20" width="25.85546875" style="76" customWidth="1"/>
    <col min="21" max="21" width="2.42578125" style="76" customWidth="1"/>
    <col min="22" max="22" width="25.85546875" style="76" customWidth="1"/>
    <col min="23" max="23" width="2.140625" style="76" customWidth="1"/>
    <col min="24" max="24" width="5.7109375" style="76" customWidth="1"/>
    <col min="25" max="25" width="2.28515625" style="76" customWidth="1"/>
    <col min="26" max="26" width="5.7109375" style="76" customWidth="1"/>
    <col min="27" max="27" width="2.140625" style="76" customWidth="1"/>
    <col min="28" max="28" width="5.7109375" style="76" customWidth="1"/>
    <col min="29" max="29" width="2.28515625" style="76" customWidth="1"/>
    <col min="30" max="30" width="5.7109375" style="76" customWidth="1"/>
    <col min="31" max="32" width="25.7109375" style="76" customWidth="1"/>
    <col min="33" max="34" width="5.7109375" style="76" customWidth="1"/>
    <col min="35" max="35" width="2.140625" style="76" customWidth="1"/>
    <col min="36" max="36" width="5.85546875" style="76" customWidth="1"/>
    <col min="37" max="38" width="25.5703125" style="76" customWidth="1"/>
    <col min="39" max="41" width="5.7109375" style="76" customWidth="1"/>
    <col min="42" max="42" width="24.28515625" style="67" hidden="1" customWidth="1"/>
    <col min="43" max="46" width="11.42578125" style="76" customWidth="1"/>
    <col min="47" max="51" width="11.42578125" style="67" customWidth="1"/>
    <col min="52" max="52" width="11.42578125" style="67"/>
    <col min="53" max="16384" width="11.42578125" style="76"/>
  </cols>
  <sheetData>
    <row r="1" spans="3:51" x14ac:dyDescent="0.25">
      <c r="D1" s="61" t="s">
        <v>4</v>
      </c>
      <c r="E1" s="61" t="s">
        <v>164</v>
      </c>
      <c r="F1" s="61" t="s">
        <v>143</v>
      </c>
      <c r="I1" s="169" t="s">
        <v>165</v>
      </c>
      <c r="J1" s="169"/>
      <c r="T1" s="114">
        <v>3</v>
      </c>
      <c r="U1" s="115"/>
      <c r="V1" s="114">
        <v>4</v>
      </c>
      <c r="W1" s="114"/>
      <c r="X1" s="114">
        <v>7</v>
      </c>
      <c r="Y1" s="114"/>
      <c r="Z1" s="114">
        <v>8</v>
      </c>
      <c r="AP1" s="102"/>
      <c r="AQ1" s="103"/>
      <c r="AR1" s="103"/>
      <c r="AS1" s="103"/>
      <c r="AT1" s="100"/>
      <c r="AU1" s="103"/>
      <c r="AV1" s="103"/>
      <c r="AW1" s="103"/>
      <c r="AX1" s="103"/>
      <c r="AY1" s="103"/>
    </row>
    <row r="2" spans="3:51" ht="15.75" customHeight="1" x14ac:dyDescent="0.25">
      <c r="F2" s="92"/>
      <c r="G2" s="92"/>
      <c r="H2" s="92"/>
      <c r="I2" s="93"/>
      <c r="J2" s="93"/>
      <c r="L2" s="93"/>
      <c r="M2" s="93"/>
      <c r="Q2" s="170" t="s">
        <v>92</v>
      </c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1"/>
      <c r="AD2" s="169" t="s">
        <v>167</v>
      </c>
      <c r="AE2" s="169"/>
      <c r="AF2" s="169"/>
      <c r="AG2" s="169"/>
      <c r="AH2" s="169"/>
      <c r="AJ2" s="169" t="s">
        <v>143</v>
      </c>
      <c r="AK2" s="169"/>
      <c r="AL2" s="169"/>
      <c r="AM2" s="169"/>
      <c r="AN2" s="169"/>
      <c r="AP2" s="101"/>
      <c r="AQ2" s="101"/>
      <c r="AR2" s="100"/>
      <c r="AS2" s="100"/>
      <c r="AT2" s="100"/>
      <c r="AU2" s="101"/>
      <c r="AV2" s="101"/>
      <c r="AW2" s="101"/>
      <c r="AX2" s="101"/>
      <c r="AY2" s="101"/>
    </row>
    <row r="3" spans="3:51" x14ac:dyDescent="0.25">
      <c r="C3" s="94" t="str">
        <f t="shared" ref="C3:C34" si="0">IF(E3=$Q$2,D3,IF(F3=$Q$2,D3,""))</f>
        <v/>
      </c>
      <c r="D3" s="95">
        <v>1</v>
      </c>
      <c r="E3" s="96" t="str">
        <f>BUNDESLIGA!F4&amp;IF(OR(BUNDESLIGA!G4="",BUNDESLIGA!H4=""),"",IF(BUNDESLIGA!G4&gt;BUNDESLIGA!H4,"",IF(BUNDESLIGA!G4&lt;BUNDESLIGA!H4,"","")))</f>
        <v>Bayern München</v>
      </c>
      <c r="F3" s="96" t="str">
        <f>BUNDESLIGA!I4&amp;IF(OR(BUNDESLIGA!G4="",BUNDESLIGA!H4=""),"",IF(BUNDESLIGA!G4&lt;BUNDESLIGA!H4,"",IF(BUNDESLIGA!G4&gt;BUNDESLIGA!H4,"","")))</f>
        <v>Hertha BSC</v>
      </c>
      <c r="G3" s="96" t="str">
        <f>IF(BUNDESLIGA!G4&lt;&gt;"",BUNDESLIGA!G4&amp;" - "&amp;BUNDESLIGA!H4,"")</f>
        <v>2 - 2</v>
      </c>
      <c r="H3" s="96" t="str">
        <f>(E3&amp;"-"&amp;F3)</f>
        <v>Bayern München-Hertha BSC</v>
      </c>
      <c r="I3" s="96" t="str">
        <f t="shared" ref="I3:I66" si="1">LEFT(G3,1)</f>
        <v>2</v>
      </c>
      <c r="J3" s="97" t="str">
        <f t="shared" ref="J3:J66" si="2">RIGHT(G3,1)</f>
        <v>2</v>
      </c>
      <c r="L3" s="67">
        <f t="shared" ref="L3:L34" si="3">IF(I3="","",IF(I3&gt;J3,3,IF(I3=J3,1,0)))</f>
        <v>1</v>
      </c>
      <c r="M3" s="67">
        <f t="shared" ref="M3:M34" si="4">IF(J3="","",IF(J3&gt;I3,3,IF(J3=I3,1,0)))</f>
        <v>1</v>
      </c>
      <c r="O3" s="67" t="str">
        <f t="shared" ref="O3:O66" si="5">IF(AND($I3&lt;&gt;"",ISNUMBER(SEARCH("-"&amp;$Q$2,$H3))+ISNUMBER(SEARCH($Q$2&amp;"-",$H3))),ROW(),"")</f>
        <v/>
      </c>
      <c r="P3" s="67"/>
      <c r="S3" s="67"/>
      <c r="U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  <c r="AM3" s="67"/>
      <c r="AN3" s="67"/>
      <c r="AO3" s="67"/>
      <c r="AP3" s="104" t="str">
        <f>(EQUIPES!F6)</f>
        <v>1. FC Köln</v>
      </c>
      <c r="AQ3" s="101"/>
      <c r="AR3" s="101"/>
      <c r="AT3" s="100"/>
      <c r="AU3" s="101"/>
      <c r="AV3" s="101"/>
      <c r="AW3" s="101"/>
      <c r="AX3" s="101"/>
      <c r="AY3" s="101"/>
    </row>
    <row r="4" spans="3:51" x14ac:dyDescent="0.25">
      <c r="C4" s="94">
        <f t="shared" si="0"/>
        <v>1</v>
      </c>
      <c r="D4" s="95">
        <v>1</v>
      </c>
      <c r="E4" s="96" t="str">
        <f>BUNDESLIGA!F5&amp;IF(OR(BUNDESLIGA!G5="",BUNDESLIGA!H5=""),"",IF(BUNDESLIGA!G5&gt;BUNDESLIGA!H5,"",IF(BUNDESLIGA!G5&lt;BUNDESLIGA!H5,"","")))</f>
        <v>Borussia Dortmund</v>
      </c>
      <c r="F4" s="96" t="str">
        <f>BUNDESLIGA!I5&amp;IF(OR(BUNDESLIGA!G5="",BUNDESLIGA!H5=""),"",IF(BUNDESLIGA!G5&lt;BUNDESLIGA!H5,"",IF(BUNDESLIGA!G5&gt;BUNDESLIGA!H5,"","")))</f>
        <v>FC Augsburg</v>
      </c>
      <c r="G4" s="96" t="str">
        <f>IF(BUNDESLIGA!G5&lt;&gt;"",BUNDESLIGA!G5&amp;" - "&amp;BUNDESLIGA!H5,"")</f>
        <v>5 - 1</v>
      </c>
      <c r="H4" s="96" t="str">
        <f>(E4&amp;"-"&amp;F4)</f>
        <v>Borussia Dortmund-FC Augsburg</v>
      </c>
      <c r="I4" s="96" t="str">
        <f t="shared" si="1"/>
        <v>5</v>
      </c>
      <c r="J4" s="97" t="str">
        <f t="shared" si="2"/>
        <v>1</v>
      </c>
      <c r="L4" s="67">
        <f t="shared" si="3"/>
        <v>3</v>
      </c>
      <c r="M4" s="67">
        <f t="shared" si="4"/>
        <v>0</v>
      </c>
      <c r="O4" s="67">
        <f t="shared" si="5"/>
        <v>4</v>
      </c>
      <c r="P4" s="67"/>
      <c r="Q4" s="68">
        <v>1</v>
      </c>
      <c r="R4" s="67"/>
      <c r="S4" s="67">
        <f>(IF(AB4&lt;&gt;"D",0,COUNTIF(AB$4:AB4,"D"))+IF(AB4&lt;&gt;"E",0,COUNTIF(AB$4:AB4,"E")+17))</f>
        <v>18</v>
      </c>
      <c r="T4" s="109" t="str">
        <f t="shared" ref="T4:T37" si="6">IF($Q4="","",IF(ISNA(VLOOKUP($Q4,base_donnees,$T$1,FALSE)),"",VLOOKUP($Q4,base_donnees,$T$1,FALSE)))</f>
        <v>Borussia Dortmund</v>
      </c>
      <c r="U4" s="110"/>
      <c r="V4" s="111" t="str">
        <f t="shared" ref="V4:V37" si="7">IF($Q4="","",IF(ISNA(VLOOKUP($Q4,base_donnees,$V$1,FALSE)),"",VLOOKUP($Q4,base_donnees,$V$1,FALSE)))</f>
        <v>FC Augsburg</v>
      </c>
      <c r="W4" s="106"/>
      <c r="X4" s="68" t="str">
        <f t="shared" ref="X4:X37" si="8">IF($Q4="","",IF(ISNA(VLOOKUP($Q4,base_donnees,$X$1,FALSE)),"",VLOOKUP($Q4,base_donnees,$X$1,FALSE)))</f>
        <v>5</v>
      </c>
      <c r="Y4" s="106"/>
      <c r="Z4" s="68" t="str">
        <f t="shared" ref="Z4:Z37" si="9">IF($Q4="","",IF(ISNA(VLOOKUP($Q4,base_donnees,$Z$1,FALSE)),"",VLOOKUP($Q4,base_donnees,$Z$1,FALSE)))</f>
        <v>1</v>
      </c>
      <c r="AA4" s="67"/>
      <c r="AB4" s="68" t="str">
        <f>IF(T4='DERNIER RESULTS'!$Q$2,"D","E")</f>
        <v>E</v>
      </c>
      <c r="AC4" s="67"/>
      <c r="AD4" s="68">
        <v>1</v>
      </c>
      <c r="AE4" s="109" t="str">
        <f>IF($AD4="","",IF(ISNA(VLOOKUP($AD4,base_donnees_2,2,FALSE)),"",VLOOKUP($AD4,base_donnees_2,2,FALSE)))</f>
        <v>FC Augsburg</v>
      </c>
      <c r="AF4" s="110" t="str">
        <f t="shared" ref="AF4:AF20" si="10">IF($AD4="","",IF(ISNA(VLOOKUP($AD4,base_donnees_2,4,FALSE)),"",VLOOKUP($AD4,base_donnees_2,4,FALSE)))</f>
        <v>1. FC Union Berlin</v>
      </c>
      <c r="AG4" s="110" t="str">
        <f t="shared" ref="AG4:AG20" si="11">IF($AD4="","",IF(ISNA(VLOOKUP($AD4,base_donnees_2,6,FALSE)),"",VLOOKUP($AD4,base_donnees_2,6,FALSE)))</f>
        <v>1</v>
      </c>
      <c r="AH4" s="111" t="str">
        <f t="shared" ref="AH4:AH20" si="12">IF($AD4="","",IF(ISNA(VLOOKUP($AD4,base_donnees_2,8,FALSE)),"",VLOOKUP($AD4,base_donnees_2,8,FALSE)))</f>
        <v>1</v>
      </c>
      <c r="AI4" s="67"/>
      <c r="AJ4" s="109">
        <v>18</v>
      </c>
      <c r="AK4" s="110" t="str">
        <f t="shared" ref="AK4:AK20" si="13">IF($AJ4="","",IF(ISNA(VLOOKUP($AJ4,base_donnees_2,2,FALSE)),"",VLOOKUP($AJ4,base_donnees_2,2,FALSE)))</f>
        <v>Borussia Dortmund</v>
      </c>
      <c r="AL4" s="110" t="str">
        <f t="shared" ref="AL4:AL20" si="14">IF($AJ4="","",IF(ISNA(VLOOKUP($AJ4,base_donnees_2,4,FALSE)),"",VLOOKUP($AJ4,base_donnees_2,4,FALSE)))</f>
        <v>FC Augsburg</v>
      </c>
      <c r="AM4" s="110" t="str">
        <f t="shared" ref="AM4:AM20" si="15">IF($AJ4="","",IF(ISNA(VLOOKUP($AJ4,base_donnees_2,6,FALSE)),"",VLOOKUP($AJ4,base_donnees_2,6,FALSE)))</f>
        <v>5</v>
      </c>
      <c r="AN4" s="111" t="str">
        <f t="shared" ref="AN4:AN20" si="16">IF($AJ4="","",IF(ISNA(VLOOKUP($AJ4,base_donnees_2,8,FALSE)),"",VLOOKUP($AJ4,base_donnees_2,8,FALSE)))</f>
        <v>1</v>
      </c>
      <c r="AO4" s="67"/>
      <c r="AP4" s="104" t="str">
        <f>(EQUIPES!F7)</f>
        <v>1. FC Union Berlin</v>
      </c>
      <c r="AQ4" s="101"/>
      <c r="AR4" s="101"/>
      <c r="AS4" s="101"/>
      <c r="AT4" s="100"/>
      <c r="AU4" s="101"/>
      <c r="AV4" s="101"/>
      <c r="AW4" s="101"/>
      <c r="AX4" s="101"/>
      <c r="AY4" s="101"/>
    </row>
    <row r="5" spans="3:51" x14ac:dyDescent="0.25">
      <c r="C5" s="94" t="str">
        <f t="shared" si="0"/>
        <v/>
      </c>
      <c r="D5" s="95">
        <v>1</v>
      </c>
      <c r="E5" s="96" t="str">
        <f>BUNDESLIGA!F6&amp;IF(OR(BUNDESLIGA!G6="",BUNDESLIGA!H6=""),"",IF(BUNDESLIGA!G6&gt;BUNDESLIGA!H6,"",IF(BUNDESLIGA!G6&lt;BUNDESLIGA!H6,"","")))</f>
        <v>Bayer Leverkusen</v>
      </c>
      <c r="F5" s="96" t="str">
        <f>BUNDESLIGA!I6&amp;IF(OR(BUNDESLIGA!G6="",BUNDESLIGA!H6=""),"",IF(BUNDESLIGA!G6&lt;BUNDESLIGA!H6,"",IF(BUNDESLIGA!G6&gt;BUNDESLIGA!H6,"","")))</f>
        <v>SC Paderborn 07</v>
      </c>
      <c r="G5" s="96" t="str">
        <f>IF(BUNDESLIGA!G6&lt;&gt;"",BUNDESLIGA!G6&amp;" - "&amp;BUNDESLIGA!H6,"")</f>
        <v>3 - 2</v>
      </c>
      <c r="H5" s="96" t="str">
        <f t="shared" ref="H5:H68" si="17">(E5&amp;"-"&amp;F5)</f>
        <v>Bayer Leverkusen-SC Paderborn 07</v>
      </c>
      <c r="I5" s="96" t="str">
        <f t="shared" si="1"/>
        <v>3</v>
      </c>
      <c r="J5" s="97" t="str">
        <f t="shared" si="2"/>
        <v>2</v>
      </c>
      <c r="L5" s="67">
        <f t="shared" si="3"/>
        <v>3</v>
      </c>
      <c r="M5" s="67">
        <f t="shared" si="4"/>
        <v>0</v>
      </c>
      <c r="O5" s="67" t="str">
        <f t="shared" si="5"/>
        <v/>
      </c>
      <c r="P5" s="67"/>
      <c r="Q5" s="68">
        <v>2</v>
      </c>
      <c r="R5" s="67"/>
      <c r="S5" s="67">
        <f>(IF(AB5&lt;&gt;"D",0,COUNTIF(AB$4:AB5,"D"))+IF(AB5&lt;&gt;"E",0,COUNTIF(AB$4:AB5,"E")+17))</f>
        <v>1</v>
      </c>
      <c r="T5" s="109" t="str">
        <f t="shared" si="6"/>
        <v>FC Augsburg</v>
      </c>
      <c r="U5" s="110"/>
      <c r="V5" s="111" t="str">
        <f t="shared" si="7"/>
        <v>1. FC Union Berlin</v>
      </c>
      <c r="W5" s="106"/>
      <c r="X5" s="68" t="str">
        <f t="shared" si="8"/>
        <v>1</v>
      </c>
      <c r="Y5" s="106"/>
      <c r="Z5" s="68" t="str">
        <f t="shared" si="9"/>
        <v>1</v>
      </c>
      <c r="AA5" s="67"/>
      <c r="AB5" s="68" t="str">
        <f>IF(T5='DERNIER RESULTS'!$Q$2,"D","E")</f>
        <v>D</v>
      </c>
      <c r="AC5" s="67"/>
      <c r="AD5" s="68">
        <v>2</v>
      </c>
      <c r="AE5" s="109" t="str">
        <f>IF($AD5="","",IF(ISNA(VLOOKUP($AD5,base_donnees_2,2,FALSE)),"",VLOOKUP($AD5,base_donnees_2,2,FALSE)))</f>
        <v>FC Augsburg</v>
      </c>
      <c r="AF5" s="112" t="str">
        <f t="shared" si="10"/>
        <v>Eintracht Frankfurt</v>
      </c>
      <c r="AG5" s="112" t="str">
        <f t="shared" si="11"/>
        <v>2</v>
      </c>
      <c r="AH5" s="113" t="str">
        <f t="shared" si="12"/>
        <v>1</v>
      </c>
      <c r="AI5" s="67"/>
      <c r="AJ5" s="109">
        <v>19</v>
      </c>
      <c r="AK5" s="110" t="str">
        <f t="shared" si="13"/>
        <v>Werder Bremen</v>
      </c>
      <c r="AL5" s="112" t="str">
        <f t="shared" si="14"/>
        <v>FC Augsburg</v>
      </c>
      <c r="AM5" s="112" t="str">
        <f t="shared" si="15"/>
        <v>3</v>
      </c>
      <c r="AN5" s="113" t="str">
        <f t="shared" si="16"/>
        <v>2</v>
      </c>
      <c r="AO5" s="67"/>
      <c r="AP5" s="104" t="str">
        <f>(EQUIPES!F8)</f>
        <v>1. FSV Mainz 05</v>
      </c>
      <c r="AQ5" s="101"/>
      <c r="AR5" s="101"/>
      <c r="AS5" s="101"/>
      <c r="AT5" s="100"/>
      <c r="AU5" s="101"/>
      <c r="AV5" s="101"/>
      <c r="AW5" s="101"/>
      <c r="AX5" s="101"/>
      <c r="AY5" s="101"/>
    </row>
    <row r="6" spans="3:51" x14ac:dyDescent="0.25">
      <c r="C6" s="94" t="str">
        <f t="shared" si="0"/>
        <v/>
      </c>
      <c r="D6" s="95">
        <v>1</v>
      </c>
      <c r="E6" s="96" t="str">
        <f>BUNDESLIGA!F7&amp;IF(OR(BUNDESLIGA!G7="",BUNDESLIGA!H7=""),"",IF(BUNDESLIGA!G7&gt;BUNDESLIGA!H7,"",IF(BUNDESLIGA!G7&lt;BUNDESLIGA!H7,"","")))</f>
        <v>VfL Wolfsburg</v>
      </c>
      <c r="F6" s="96" t="str">
        <f>BUNDESLIGA!I7&amp;IF(OR(BUNDESLIGA!G7="",BUNDESLIGA!H7=""),"",IF(BUNDESLIGA!G7&lt;BUNDESLIGA!H7,"",IF(BUNDESLIGA!G7&gt;BUNDESLIGA!H7,"","")))</f>
        <v>1. FC Köln</v>
      </c>
      <c r="G6" s="96" t="str">
        <f>IF(BUNDESLIGA!G7&lt;&gt;"",BUNDESLIGA!G7&amp;" - "&amp;BUNDESLIGA!H7,"")</f>
        <v>2 - 1</v>
      </c>
      <c r="H6" s="96" t="str">
        <f t="shared" si="17"/>
        <v>VfL Wolfsburg-1. FC Köln</v>
      </c>
      <c r="I6" s="96" t="str">
        <f t="shared" si="1"/>
        <v>2</v>
      </c>
      <c r="J6" s="97" t="str">
        <f t="shared" si="2"/>
        <v>1</v>
      </c>
      <c r="L6" s="67">
        <f t="shared" si="3"/>
        <v>3</v>
      </c>
      <c r="M6" s="67">
        <f t="shared" si="4"/>
        <v>0</v>
      </c>
      <c r="O6" s="67" t="str">
        <f t="shared" si="5"/>
        <v/>
      </c>
      <c r="P6" s="67"/>
      <c r="Q6" s="68">
        <v>3</v>
      </c>
      <c r="R6" s="67"/>
      <c r="S6" s="67">
        <f>(IF(AB6&lt;&gt;"D",0,COUNTIF(AB$4:AB6,"D"))+IF(AB6&lt;&gt;"E",0,COUNTIF(AB$4:AB6,"E")+17))</f>
        <v>19</v>
      </c>
      <c r="T6" s="109" t="str">
        <f t="shared" si="6"/>
        <v>Werder Bremen</v>
      </c>
      <c r="U6" s="110"/>
      <c r="V6" s="111" t="str">
        <f t="shared" si="7"/>
        <v>FC Augsburg</v>
      </c>
      <c r="W6" s="106"/>
      <c r="X6" s="68" t="str">
        <f t="shared" si="8"/>
        <v>3</v>
      </c>
      <c r="Y6" s="106"/>
      <c r="Z6" s="68" t="str">
        <f t="shared" si="9"/>
        <v>2</v>
      </c>
      <c r="AA6" s="67"/>
      <c r="AB6" s="68" t="str">
        <f>IF(T6='DERNIER RESULTS'!$Q$2,"D","E")</f>
        <v>E</v>
      </c>
      <c r="AC6" s="67"/>
      <c r="AD6" s="68">
        <v>3</v>
      </c>
      <c r="AE6" s="109" t="str">
        <f t="shared" ref="AE6:AE20" si="18">IF($AD6="","",IF(ISNA(VLOOKUP($AD6,base_donnees_2,2,FALSE)),"",VLOOKUP($AD6,base_donnees_2,2,FALSE)))</f>
        <v>FC Augsburg</v>
      </c>
      <c r="AF6" s="112" t="str">
        <f t="shared" si="10"/>
        <v>Bayer Leverkusen</v>
      </c>
      <c r="AG6" s="112" t="str">
        <f t="shared" si="11"/>
        <v>0</v>
      </c>
      <c r="AH6" s="113" t="str">
        <f t="shared" si="12"/>
        <v>3</v>
      </c>
      <c r="AI6" s="67"/>
      <c r="AJ6" s="109">
        <v>20</v>
      </c>
      <c r="AK6" s="110" t="str">
        <f t="shared" si="13"/>
        <v>SC Freiburg</v>
      </c>
      <c r="AL6" s="112" t="str">
        <f t="shared" si="14"/>
        <v>FC Augsburg</v>
      </c>
      <c r="AM6" s="112" t="str">
        <f t="shared" si="15"/>
        <v>1</v>
      </c>
      <c r="AN6" s="113" t="str">
        <f t="shared" si="16"/>
        <v>1</v>
      </c>
      <c r="AO6" s="67"/>
      <c r="AP6" s="104" t="str">
        <f>(EQUIPES!F9)</f>
        <v>1899 Hoffenheim</v>
      </c>
      <c r="AQ6" s="101"/>
      <c r="AR6" s="101"/>
      <c r="AS6" s="101"/>
      <c r="AT6" s="100"/>
      <c r="AU6" s="101"/>
      <c r="AV6" s="101"/>
      <c r="AW6" s="101"/>
      <c r="AX6" s="101"/>
      <c r="AY6" s="101"/>
    </row>
    <row r="7" spans="3:51" x14ac:dyDescent="0.25">
      <c r="C7" s="94" t="str">
        <f t="shared" si="0"/>
        <v/>
      </c>
      <c r="D7" s="95">
        <v>1</v>
      </c>
      <c r="E7" s="96" t="str">
        <f>BUNDESLIGA!F8&amp;IF(OR(BUNDESLIGA!G8="",BUNDESLIGA!H8=""),"",IF(BUNDESLIGA!G8&gt;BUNDESLIGA!H8,"",IF(BUNDESLIGA!G8&lt;BUNDESLIGA!H8,"","")))</f>
        <v>Werder Bremen</v>
      </c>
      <c r="F7" s="96" t="str">
        <f>BUNDESLIGA!I8&amp;IF(OR(BUNDESLIGA!G8="",BUNDESLIGA!H8=""),"",IF(BUNDESLIGA!G8&lt;BUNDESLIGA!H8,"",IF(BUNDESLIGA!G8&gt;BUNDESLIGA!H8,"","")))</f>
        <v>Fortuna Düsseldorf</v>
      </c>
      <c r="G7" s="96" t="str">
        <f>IF(BUNDESLIGA!G8&lt;&gt;"",BUNDESLIGA!G8&amp;" - "&amp;BUNDESLIGA!H8,"")</f>
        <v>1 - 3</v>
      </c>
      <c r="H7" s="96" t="str">
        <f t="shared" si="17"/>
        <v>Werder Bremen-Fortuna Düsseldorf</v>
      </c>
      <c r="I7" s="96" t="str">
        <f t="shared" si="1"/>
        <v>1</v>
      </c>
      <c r="J7" s="97" t="str">
        <f t="shared" si="2"/>
        <v>3</v>
      </c>
      <c r="L7" s="67">
        <f t="shared" si="3"/>
        <v>0</v>
      </c>
      <c r="M7" s="67">
        <f t="shared" si="4"/>
        <v>3</v>
      </c>
      <c r="O7" s="67" t="str">
        <f t="shared" si="5"/>
        <v/>
      </c>
      <c r="P7" s="67"/>
      <c r="Q7" s="68">
        <v>4</v>
      </c>
      <c r="R7" s="67"/>
      <c r="S7" s="67">
        <f>(IF(AB7&lt;&gt;"D",0,COUNTIF(AB$4:AB7,"D"))+IF(AB7&lt;&gt;"E",0,COUNTIF(AB$4:AB7,"E")+17))</f>
        <v>2</v>
      </c>
      <c r="T7" s="109" t="str">
        <f t="shared" si="6"/>
        <v>FC Augsburg</v>
      </c>
      <c r="U7" s="110"/>
      <c r="V7" s="111" t="str">
        <f t="shared" si="7"/>
        <v>Eintracht Frankfurt</v>
      </c>
      <c r="W7" s="106"/>
      <c r="X7" s="68" t="str">
        <f t="shared" si="8"/>
        <v>2</v>
      </c>
      <c r="Y7" s="106"/>
      <c r="Z7" s="68" t="str">
        <f t="shared" si="9"/>
        <v>1</v>
      </c>
      <c r="AA7" s="67"/>
      <c r="AB7" s="68" t="str">
        <f>IF(T7='DERNIER RESULTS'!$Q$2,"D","E")</f>
        <v>D</v>
      </c>
      <c r="AC7" s="67"/>
      <c r="AD7" s="68">
        <v>4</v>
      </c>
      <c r="AE7" s="109" t="str">
        <f t="shared" si="18"/>
        <v>FC Augsburg</v>
      </c>
      <c r="AF7" s="112" t="str">
        <f t="shared" si="10"/>
        <v>Bayern München</v>
      </c>
      <c r="AG7" s="112" t="str">
        <f t="shared" si="11"/>
        <v>2</v>
      </c>
      <c r="AH7" s="113" t="str">
        <f t="shared" si="12"/>
        <v>2</v>
      </c>
      <c r="AI7" s="67"/>
      <c r="AJ7" s="109">
        <v>21</v>
      </c>
      <c r="AK7" s="110" t="str">
        <f t="shared" si="13"/>
        <v>Bor. Mönchengladbach</v>
      </c>
      <c r="AL7" s="112" t="str">
        <f t="shared" si="14"/>
        <v>FC Augsburg</v>
      </c>
      <c r="AM7" s="112" t="str">
        <f t="shared" si="15"/>
        <v>5</v>
      </c>
      <c r="AN7" s="113" t="str">
        <f t="shared" si="16"/>
        <v>1</v>
      </c>
      <c r="AO7" s="67"/>
      <c r="AP7" s="104" t="str">
        <f>(EQUIPES!F10)</f>
        <v>Bayer Leverkusen</v>
      </c>
      <c r="AQ7" s="101"/>
      <c r="AR7" s="101"/>
      <c r="AS7" s="101"/>
      <c r="AT7" s="100"/>
      <c r="AU7" s="101"/>
      <c r="AV7" s="101"/>
      <c r="AW7" s="101"/>
      <c r="AX7" s="101"/>
      <c r="AY7" s="101"/>
    </row>
    <row r="8" spans="3:51" x14ac:dyDescent="0.25">
      <c r="C8" s="94" t="str">
        <f t="shared" si="0"/>
        <v/>
      </c>
      <c r="D8" s="95">
        <v>1</v>
      </c>
      <c r="E8" s="96" t="str">
        <f>BUNDESLIGA!F9&amp;IF(OR(BUNDESLIGA!G9="",BUNDESLIGA!H9=""),"",IF(BUNDESLIGA!G9&gt;BUNDESLIGA!H9,"",IF(BUNDESLIGA!G9&lt;BUNDESLIGA!H9,"","")))</f>
        <v>SC Freiburg</v>
      </c>
      <c r="F8" s="96" t="str">
        <f>BUNDESLIGA!I9&amp;IF(OR(BUNDESLIGA!G9="",BUNDESLIGA!H9=""),"",IF(BUNDESLIGA!G9&lt;BUNDESLIGA!H9,"",IF(BUNDESLIGA!G9&gt;BUNDESLIGA!H9,"","")))</f>
        <v>1. FSV Mainz 05</v>
      </c>
      <c r="G8" s="96" t="str">
        <f>IF(BUNDESLIGA!G9&lt;&gt;"",BUNDESLIGA!G9&amp;" - "&amp;BUNDESLIGA!H9,"")</f>
        <v>3 - 0</v>
      </c>
      <c r="H8" s="96" t="str">
        <f t="shared" si="17"/>
        <v>SC Freiburg-1. FSV Mainz 05</v>
      </c>
      <c r="I8" s="96" t="str">
        <f t="shared" si="1"/>
        <v>3</v>
      </c>
      <c r="J8" s="97" t="str">
        <f t="shared" si="2"/>
        <v>0</v>
      </c>
      <c r="L8" s="67">
        <f t="shared" si="3"/>
        <v>3</v>
      </c>
      <c r="M8" s="67">
        <f t="shared" si="4"/>
        <v>0</v>
      </c>
      <c r="O8" s="67" t="str">
        <f t="shared" si="5"/>
        <v/>
      </c>
      <c r="P8" s="67"/>
      <c r="Q8" s="68">
        <v>5</v>
      </c>
      <c r="R8" s="67"/>
      <c r="S8" s="67">
        <f>(IF(AB8&lt;&gt;"D",0,COUNTIF(AB$4:AB8,"D"))+IF(AB8&lt;&gt;"E",0,COUNTIF(AB$4:AB8,"E")+17))</f>
        <v>20</v>
      </c>
      <c r="T8" s="109" t="str">
        <f t="shared" si="6"/>
        <v>SC Freiburg</v>
      </c>
      <c r="U8" s="110"/>
      <c r="V8" s="111" t="str">
        <f t="shared" si="7"/>
        <v>FC Augsburg</v>
      </c>
      <c r="W8" s="106"/>
      <c r="X8" s="68" t="str">
        <f t="shared" si="8"/>
        <v>1</v>
      </c>
      <c r="Y8" s="106"/>
      <c r="Z8" s="68" t="str">
        <f t="shared" si="9"/>
        <v>1</v>
      </c>
      <c r="AA8" s="67"/>
      <c r="AB8" s="68" t="str">
        <f>IF(T8='DERNIER RESULTS'!$Q$2,"D","E")</f>
        <v>E</v>
      </c>
      <c r="AC8" s="67"/>
      <c r="AD8" s="68">
        <v>5</v>
      </c>
      <c r="AE8" s="109" t="str">
        <f t="shared" si="18"/>
        <v>FC Augsburg</v>
      </c>
      <c r="AF8" s="112" t="str">
        <f t="shared" si="10"/>
        <v>FC Schalke 04</v>
      </c>
      <c r="AG8" s="112" t="str">
        <f t="shared" si="11"/>
        <v>2</v>
      </c>
      <c r="AH8" s="113" t="str">
        <f t="shared" si="12"/>
        <v>3</v>
      </c>
      <c r="AI8" s="67"/>
      <c r="AJ8" s="109">
        <v>22</v>
      </c>
      <c r="AK8" s="110" t="str">
        <f t="shared" si="13"/>
        <v>VfL Wolfsburg</v>
      </c>
      <c r="AL8" s="112" t="str">
        <f t="shared" si="14"/>
        <v>FC Augsburg</v>
      </c>
      <c r="AM8" s="112" t="str">
        <f t="shared" si="15"/>
        <v>0</v>
      </c>
      <c r="AN8" s="113" t="str">
        <f t="shared" si="16"/>
        <v>0</v>
      </c>
      <c r="AO8" s="67"/>
      <c r="AP8" s="104" t="str">
        <f>(EQUIPES!F11)</f>
        <v>Bayern München</v>
      </c>
      <c r="AQ8" s="101"/>
      <c r="AR8" s="101"/>
      <c r="AS8" s="101"/>
      <c r="AT8" s="100"/>
      <c r="AU8" s="101"/>
      <c r="AV8" s="101"/>
      <c r="AW8" s="101"/>
      <c r="AX8" s="101"/>
      <c r="AY8" s="101"/>
    </row>
    <row r="9" spans="3:51" x14ac:dyDescent="0.25">
      <c r="C9" s="94" t="str">
        <f t="shared" si="0"/>
        <v/>
      </c>
      <c r="D9" s="95">
        <v>1</v>
      </c>
      <c r="E9" s="96" t="str">
        <f>BUNDESLIGA!F10&amp;IF(OR(BUNDESLIGA!G10="",BUNDESLIGA!H10=""),"",IF(BUNDESLIGA!G10&gt;BUNDESLIGA!H10,"",IF(BUNDESLIGA!G10&lt;BUNDESLIGA!H10,"","")))</f>
        <v>Bor. Mönchengladbach</v>
      </c>
      <c r="F9" s="96" t="str">
        <f>BUNDESLIGA!I10&amp;IF(OR(BUNDESLIGA!G10="",BUNDESLIGA!H10=""),"",IF(BUNDESLIGA!G10&lt;BUNDESLIGA!H10,"",IF(BUNDESLIGA!G10&gt;BUNDESLIGA!H10,"","")))</f>
        <v>FC Schalke 04</v>
      </c>
      <c r="G9" s="96" t="str">
        <f>IF(BUNDESLIGA!G10&lt;&gt;"",BUNDESLIGA!G10&amp;" - "&amp;BUNDESLIGA!H10,"")</f>
        <v>0 - 0</v>
      </c>
      <c r="H9" s="96" t="str">
        <f t="shared" si="17"/>
        <v>Bor. Mönchengladbach-FC Schalke 04</v>
      </c>
      <c r="I9" s="96" t="str">
        <f t="shared" si="1"/>
        <v>0</v>
      </c>
      <c r="J9" s="97" t="str">
        <f t="shared" si="2"/>
        <v>0</v>
      </c>
      <c r="L9" s="67">
        <f t="shared" si="3"/>
        <v>1</v>
      </c>
      <c r="M9" s="67">
        <f t="shared" si="4"/>
        <v>1</v>
      </c>
      <c r="O9" s="67" t="str">
        <f t="shared" si="5"/>
        <v/>
      </c>
      <c r="P9" s="67"/>
      <c r="Q9" s="68">
        <v>6</v>
      </c>
      <c r="R9" s="67"/>
      <c r="S9" s="67">
        <f>(IF(AB9&lt;&gt;"D",0,COUNTIF(AB$4:AB9,"D"))+IF(AB9&lt;&gt;"E",0,COUNTIF(AB$4:AB9,"E")+17))</f>
        <v>3</v>
      </c>
      <c r="T9" s="109" t="str">
        <f t="shared" si="6"/>
        <v>FC Augsburg</v>
      </c>
      <c r="U9" s="110"/>
      <c r="V9" s="111" t="str">
        <f t="shared" si="7"/>
        <v>Bayer Leverkusen</v>
      </c>
      <c r="W9" s="106"/>
      <c r="X9" s="68" t="str">
        <f t="shared" si="8"/>
        <v>0</v>
      </c>
      <c r="Y9" s="106"/>
      <c r="Z9" s="68" t="str">
        <f t="shared" si="9"/>
        <v>3</v>
      </c>
      <c r="AA9" s="67"/>
      <c r="AB9" s="68" t="str">
        <f>IF(T9='DERNIER RESULTS'!$Q$2,"D","E")</f>
        <v>D</v>
      </c>
      <c r="AC9" s="67"/>
      <c r="AD9" s="68">
        <v>6</v>
      </c>
      <c r="AE9" s="109" t="str">
        <f t="shared" si="18"/>
        <v>FC Augsburg</v>
      </c>
      <c r="AF9" s="112" t="str">
        <f t="shared" si="10"/>
        <v>Hertha BSC</v>
      </c>
      <c r="AG9" s="112" t="str">
        <f t="shared" si="11"/>
        <v>4</v>
      </c>
      <c r="AH9" s="113" t="str">
        <f t="shared" si="12"/>
        <v>0</v>
      </c>
      <c r="AI9" s="67"/>
      <c r="AJ9" s="109">
        <v>23</v>
      </c>
      <c r="AK9" s="110" t="str">
        <f t="shared" si="13"/>
        <v>SC Paderborn 07</v>
      </c>
      <c r="AL9" s="112" t="str">
        <f t="shared" si="14"/>
        <v>FC Augsburg</v>
      </c>
      <c r="AM9" s="112" t="str">
        <f t="shared" si="15"/>
        <v>0</v>
      </c>
      <c r="AN9" s="113" t="str">
        <f t="shared" si="16"/>
        <v>1</v>
      </c>
      <c r="AO9" s="67"/>
      <c r="AP9" s="104" t="str">
        <f>(EQUIPES!F12)</f>
        <v>Bor. Mönchengladbach</v>
      </c>
      <c r="AQ9" s="101"/>
      <c r="AR9" s="101"/>
      <c r="AS9" s="101"/>
      <c r="AT9" s="100"/>
      <c r="AU9" s="101"/>
      <c r="AV9" s="101"/>
      <c r="AW9" s="101"/>
      <c r="AX9" s="101"/>
      <c r="AY9" s="101"/>
    </row>
    <row r="10" spans="3:51" x14ac:dyDescent="0.25">
      <c r="C10" s="94" t="str">
        <f t="shared" si="0"/>
        <v/>
      </c>
      <c r="D10" s="95">
        <v>1</v>
      </c>
      <c r="E10" s="96" t="str">
        <f>BUNDESLIGA!F11&amp;IF(OR(BUNDESLIGA!G11="",BUNDESLIGA!H11=""),"",IF(BUNDESLIGA!G11&gt;BUNDESLIGA!H11,"",IF(BUNDESLIGA!G11&lt;BUNDESLIGA!H11,"","")))</f>
        <v>Eintracht Frankfurt</v>
      </c>
      <c r="F10" s="96" t="str">
        <f>BUNDESLIGA!I11&amp;IF(OR(BUNDESLIGA!G11="",BUNDESLIGA!H11=""),"",IF(BUNDESLIGA!G11&lt;BUNDESLIGA!H11,"",IF(BUNDESLIGA!G11&gt;BUNDESLIGA!H11,"","")))</f>
        <v>1899 Hoffenheim</v>
      </c>
      <c r="G10" s="96" t="str">
        <f>IF(BUNDESLIGA!G11&lt;&gt;"",BUNDESLIGA!G11&amp;" - "&amp;BUNDESLIGA!H11,"")</f>
        <v>1 - 0</v>
      </c>
      <c r="H10" s="96" t="str">
        <f t="shared" si="17"/>
        <v>Eintracht Frankfurt-1899 Hoffenheim</v>
      </c>
      <c r="I10" s="96" t="str">
        <f t="shared" si="1"/>
        <v>1</v>
      </c>
      <c r="J10" s="97" t="str">
        <f t="shared" si="2"/>
        <v>0</v>
      </c>
      <c r="L10" s="67">
        <f t="shared" si="3"/>
        <v>3</v>
      </c>
      <c r="M10" s="67">
        <f t="shared" si="4"/>
        <v>0</v>
      </c>
      <c r="O10" s="67" t="str">
        <f t="shared" si="5"/>
        <v/>
      </c>
      <c r="P10" s="67"/>
      <c r="Q10" s="68">
        <v>7</v>
      </c>
      <c r="R10" s="67"/>
      <c r="S10" s="67">
        <f>(IF(AB10&lt;&gt;"D",0,COUNTIF(AB$4:AB10,"D"))+IF(AB10&lt;&gt;"E",0,COUNTIF(AB$4:AB10,"E")+17))</f>
        <v>21</v>
      </c>
      <c r="T10" s="109" t="str">
        <f t="shared" si="6"/>
        <v>Bor. Mönchengladbach</v>
      </c>
      <c r="U10" s="110"/>
      <c r="V10" s="111" t="str">
        <f t="shared" si="7"/>
        <v>FC Augsburg</v>
      </c>
      <c r="W10" s="106"/>
      <c r="X10" s="68" t="str">
        <f t="shared" si="8"/>
        <v>5</v>
      </c>
      <c r="Y10" s="106"/>
      <c r="Z10" s="68" t="str">
        <f t="shared" si="9"/>
        <v>1</v>
      </c>
      <c r="AA10" s="67"/>
      <c r="AB10" s="68" t="str">
        <f>IF(T10='DERNIER RESULTS'!$Q$2,"D","E")</f>
        <v>E</v>
      </c>
      <c r="AC10" s="67"/>
      <c r="AD10" s="68">
        <v>7</v>
      </c>
      <c r="AE10" s="109" t="str">
        <f t="shared" si="18"/>
        <v>FC Augsburg</v>
      </c>
      <c r="AF10" s="112" t="str">
        <f t="shared" si="10"/>
        <v>1. FSV Mainz 05</v>
      </c>
      <c r="AG10" s="112" t="str">
        <f t="shared" si="11"/>
        <v>2</v>
      </c>
      <c r="AH10" s="113" t="str">
        <f t="shared" si="12"/>
        <v>1</v>
      </c>
      <c r="AI10" s="67"/>
      <c r="AJ10" s="109">
        <v>24</v>
      </c>
      <c r="AK10" s="110" t="str">
        <f t="shared" si="13"/>
        <v>1. FC Köln</v>
      </c>
      <c r="AL10" s="112" t="str">
        <f t="shared" si="14"/>
        <v>FC Augsburg</v>
      </c>
      <c r="AM10" s="112" t="str">
        <f t="shared" si="15"/>
        <v>1</v>
      </c>
      <c r="AN10" s="113" t="str">
        <f t="shared" si="16"/>
        <v>1</v>
      </c>
      <c r="AO10" s="67"/>
      <c r="AP10" s="104" t="str">
        <f>(EQUIPES!F13)</f>
        <v>Borussia Dortmund</v>
      </c>
      <c r="AQ10" s="101"/>
      <c r="AR10" s="101"/>
      <c r="AS10" s="101"/>
      <c r="AT10" s="100"/>
      <c r="AU10" s="101"/>
      <c r="AV10" s="101"/>
      <c r="AW10" s="101"/>
      <c r="AX10" s="101"/>
      <c r="AY10" s="101"/>
    </row>
    <row r="11" spans="3:51" x14ac:dyDescent="0.25">
      <c r="C11" s="94" t="str">
        <f t="shared" si="0"/>
        <v/>
      </c>
      <c r="D11" s="95">
        <v>1</v>
      </c>
      <c r="E11" s="96" t="str">
        <f>BUNDESLIGA!F12&amp;IF(OR(BUNDESLIGA!G12="",BUNDESLIGA!H12=""),"",IF(BUNDESLIGA!G12&gt;BUNDESLIGA!H12,"",IF(BUNDESLIGA!G12&lt;BUNDESLIGA!H12,"","")))</f>
        <v>1. FC Union Berlin</v>
      </c>
      <c r="F11" s="96" t="str">
        <f>BUNDESLIGA!I12&amp;IF(OR(BUNDESLIGA!G12="",BUNDESLIGA!H12=""),"",IF(BUNDESLIGA!G12&lt;BUNDESLIGA!H12,"",IF(BUNDESLIGA!G12&gt;BUNDESLIGA!H12,"","")))</f>
        <v>RB Leipzig</v>
      </c>
      <c r="G11" s="96" t="str">
        <f>IF(BUNDESLIGA!G12&lt;&gt;"",BUNDESLIGA!G12&amp;" - "&amp;BUNDESLIGA!H12,"")</f>
        <v>0 - 4</v>
      </c>
      <c r="H11" s="96" t="str">
        <f t="shared" si="17"/>
        <v>1. FC Union Berlin-RB Leipzig</v>
      </c>
      <c r="I11" s="96" t="str">
        <f t="shared" si="1"/>
        <v>0</v>
      </c>
      <c r="J11" s="97" t="str">
        <f t="shared" si="2"/>
        <v>4</v>
      </c>
      <c r="L11" s="67">
        <f t="shared" si="3"/>
        <v>0</v>
      </c>
      <c r="M11" s="67">
        <f t="shared" si="4"/>
        <v>3</v>
      </c>
      <c r="O11" s="67" t="str">
        <f t="shared" si="5"/>
        <v/>
      </c>
      <c r="P11" s="67"/>
      <c r="Q11" s="68">
        <v>8</v>
      </c>
      <c r="R11" s="67"/>
      <c r="S11" s="67">
        <f>(IF(AB11&lt;&gt;"D",0,COUNTIF(AB$4:AB11,"D"))+IF(AB11&lt;&gt;"E",0,COUNTIF(AB$4:AB11,"E")+17))</f>
        <v>4</v>
      </c>
      <c r="T11" s="109" t="str">
        <f t="shared" si="6"/>
        <v>FC Augsburg</v>
      </c>
      <c r="U11" s="110"/>
      <c r="V11" s="111" t="str">
        <f t="shared" si="7"/>
        <v>Bayern München</v>
      </c>
      <c r="W11" s="106"/>
      <c r="X11" s="68" t="str">
        <f t="shared" si="8"/>
        <v>2</v>
      </c>
      <c r="Y11" s="106"/>
      <c r="Z11" s="68" t="str">
        <f t="shared" si="9"/>
        <v>2</v>
      </c>
      <c r="AA11" s="67"/>
      <c r="AB11" s="68" t="str">
        <f>IF(T11='DERNIER RESULTS'!$Q$2,"D","E")</f>
        <v>D</v>
      </c>
      <c r="AC11" s="67"/>
      <c r="AD11" s="68">
        <v>8</v>
      </c>
      <c r="AE11" s="109" t="str">
        <f t="shared" si="18"/>
        <v>FC Augsburg</v>
      </c>
      <c r="AF11" s="112" t="str">
        <f t="shared" si="10"/>
        <v>Fortuna Düsseldorf</v>
      </c>
      <c r="AG11" s="112" t="str">
        <f t="shared" si="11"/>
        <v>3</v>
      </c>
      <c r="AH11" s="113" t="str">
        <f t="shared" si="12"/>
        <v>0</v>
      </c>
      <c r="AI11" s="67"/>
      <c r="AJ11" s="109">
        <v>25</v>
      </c>
      <c r="AK11" s="110" t="str">
        <f t="shared" si="13"/>
        <v>1899 Hoffenheim</v>
      </c>
      <c r="AL11" s="112" t="str">
        <f t="shared" si="14"/>
        <v>FC Augsburg</v>
      </c>
      <c r="AM11" s="112" t="str">
        <f t="shared" si="15"/>
        <v>2</v>
      </c>
      <c r="AN11" s="113" t="str">
        <f t="shared" si="16"/>
        <v>4</v>
      </c>
      <c r="AO11" s="67"/>
      <c r="AP11" s="104" t="str">
        <f>(EQUIPES!F14)</f>
        <v>Eintracht Frankfurt</v>
      </c>
      <c r="AQ11" s="101"/>
      <c r="AR11" s="101"/>
      <c r="AS11" s="101"/>
      <c r="AT11" s="100"/>
      <c r="AU11" s="101"/>
      <c r="AV11" s="101"/>
      <c r="AW11" s="101"/>
      <c r="AX11" s="101"/>
      <c r="AY11" s="101"/>
    </row>
    <row r="12" spans="3:51" x14ac:dyDescent="0.25">
      <c r="C12" s="94" t="str">
        <f t="shared" si="0"/>
        <v/>
      </c>
      <c r="D12" s="95">
        <v>2</v>
      </c>
      <c r="E12" s="96" t="str">
        <f>BUNDESLIGA!F15&amp;IF(OR(BUNDESLIGA!G15="",BUNDESLIGA!H15=""),"",IF(BUNDESLIGA!G15&gt;BUNDESLIGA!H15,"",IF(BUNDESLIGA!G15&lt;BUNDESLIGA!H15,"","")))</f>
        <v>1. FC Köln</v>
      </c>
      <c r="F12" s="96" t="str">
        <f>BUNDESLIGA!I15&amp;IF(OR(BUNDESLIGA!G15="",BUNDESLIGA!H15=""),"",IF(BUNDESLIGA!G15&lt;BUNDESLIGA!H15,"",IF(BUNDESLIGA!G15&gt;BUNDESLIGA!H15,"","")))</f>
        <v>Borussia Dortmund</v>
      </c>
      <c r="G12" s="96" t="str">
        <f>IF(BUNDESLIGA!G15&lt;&gt;"",BUNDESLIGA!G15&amp;" - "&amp;BUNDESLIGA!H15,"")</f>
        <v>1 - 3</v>
      </c>
      <c r="H12" s="96" t="str">
        <f t="shared" si="17"/>
        <v>1. FC Köln-Borussia Dortmund</v>
      </c>
      <c r="I12" s="96" t="str">
        <f t="shared" si="1"/>
        <v>1</v>
      </c>
      <c r="J12" s="97" t="str">
        <f t="shared" si="2"/>
        <v>3</v>
      </c>
      <c r="L12" s="67">
        <f t="shared" si="3"/>
        <v>0</v>
      </c>
      <c r="M12" s="67">
        <f t="shared" si="4"/>
        <v>3</v>
      </c>
      <c r="O12" s="67" t="str">
        <f t="shared" si="5"/>
        <v/>
      </c>
      <c r="P12" s="67"/>
      <c r="Q12" s="68">
        <v>9</v>
      </c>
      <c r="R12" s="67"/>
      <c r="S12" s="67">
        <f>(IF(AB12&lt;&gt;"D",0,COUNTIF(AB$4:AB12,"D"))+IF(AB12&lt;&gt;"E",0,COUNTIF(AB$4:AB12,"E")+17))</f>
        <v>22</v>
      </c>
      <c r="T12" s="109" t="str">
        <f t="shared" si="6"/>
        <v>VfL Wolfsburg</v>
      </c>
      <c r="U12" s="110"/>
      <c r="V12" s="111" t="str">
        <f t="shared" si="7"/>
        <v>FC Augsburg</v>
      </c>
      <c r="W12" s="106"/>
      <c r="X12" s="68" t="str">
        <f t="shared" si="8"/>
        <v>0</v>
      </c>
      <c r="Y12" s="106"/>
      <c r="Z12" s="68" t="str">
        <f t="shared" si="9"/>
        <v>0</v>
      </c>
      <c r="AA12" s="67"/>
      <c r="AB12" s="68" t="str">
        <f>IF(T12='DERNIER RESULTS'!$Q$2,"D","E")</f>
        <v>E</v>
      </c>
      <c r="AC12" s="67"/>
      <c r="AD12" s="68">
        <v>9</v>
      </c>
      <c r="AE12" s="109" t="str">
        <f t="shared" si="18"/>
        <v>FC Augsburg</v>
      </c>
      <c r="AF12" s="112" t="str">
        <f t="shared" si="10"/>
        <v>Borussia Dortmund</v>
      </c>
      <c r="AG12" s="112" t="str">
        <f t="shared" si="11"/>
        <v>3</v>
      </c>
      <c r="AH12" s="113" t="str">
        <f t="shared" si="12"/>
        <v>5</v>
      </c>
      <c r="AI12" s="67"/>
      <c r="AJ12" s="109">
        <v>26</v>
      </c>
      <c r="AK12" s="110" t="str">
        <f t="shared" si="13"/>
        <v>RB Leipzig</v>
      </c>
      <c r="AL12" s="112" t="str">
        <f t="shared" si="14"/>
        <v>FC Augsburg</v>
      </c>
      <c r="AM12" s="112" t="str">
        <f t="shared" si="15"/>
        <v>3</v>
      </c>
      <c r="AN12" s="113" t="str">
        <f t="shared" si="16"/>
        <v>1</v>
      </c>
      <c r="AO12" s="67"/>
      <c r="AP12" s="104" t="str">
        <f>(EQUIPES!F15)</f>
        <v>FC Augsburg</v>
      </c>
      <c r="AQ12" s="101"/>
      <c r="AR12" s="101"/>
      <c r="AS12" s="101"/>
      <c r="AT12" s="100"/>
      <c r="AU12" s="101"/>
      <c r="AV12" s="101"/>
      <c r="AW12" s="101"/>
      <c r="AX12" s="101"/>
      <c r="AY12" s="101"/>
    </row>
    <row r="13" spans="3:51" x14ac:dyDescent="0.25">
      <c r="C13" s="94" t="str">
        <f t="shared" si="0"/>
        <v/>
      </c>
      <c r="D13" s="95">
        <v>2</v>
      </c>
      <c r="E13" s="96" t="str">
        <f>BUNDESLIGA!F16&amp;IF(OR(BUNDESLIGA!G16="",BUNDESLIGA!H16=""),"",IF(BUNDESLIGA!G16&gt;BUNDESLIGA!H16,"",IF(BUNDESLIGA!G16&lt;BUNDESLIGA!H16,"","")))</f>
        <v>1899 Hoffenheim</v>
      </c>
      <c r="F13" s="96" t="str">
        <f>BUNDESLIGA!I16&amp;IF(OR(BUNDESLIGA!G16="",BUNDESLIGA!H16=""),"",IF(BUNDESLIGA!G16&lt;BUNDESLIGA!H16,"",IF(BUNDESLIGA!G16&gt;BUNDESLIGA!H16,"","")))</f>
        <v>Werder Bremen</v>
      </c>
      <c r="G13" s="96" t="str">
        <f>IF(BUNDESLIGA!G16&lt;&gt;"",BUNDESLIGA!G16&amp;" - "&amp;BUNDESLIGA!H16,"")</f>
        <v>3 - 2</v>
      </c>
      <c r="H13" s="96" t="str">
        <f t="shared" si="17"/>
        <v>1899 Hoffenheim-Werder Bremen</v>
      </c>
      <c r="I13" s="96" t="str">
        <f t="shared" si="1"/>
        <v>3</v>
      </c>
      <c r="J13" s="97" t="str">
        <f t="shared" si="2"/>
        <v>2</v>
      </c>
      <c r="L13" s="67">
        <f t="shared" si="3"/>
        <v>3</v>
      </c>
      <c r="M13" s="67">
        <f t="shared" si="4"/>
        <v>0</v>
      </c>
      <c r="O13" s="67" t="str">
        <f t="shared" si="5"/>
        <v/>
      </c>
      <c r="P13" s="67"/>
      <c r="Q13" s="68">
        <v>10</v>
      </c>
      <c r="R13" s="67"/>
      <c r="S13" s="67">
        <f>(IF(AB13&lt;&gt;"D",0,COUNTIF(AB$4:AB13,"D"))+IF(AB13&lt;&gt;"E",0,COUNTIF(AB$4:AB13,"E")+17))</f>
        <v>5</v>
      </c>
      <c r="T13" s="109" t="str">
        <f t="shared" si="6"/>
        <v>FC Augsburg</v>
      </c>
      <c r="U13" s="110"/>
      <c r="V13" s="111" t="str">
        <f t="shared" si="7"/>
        <v>FC Schalke 04</v>
      </c>
      <c r="W13" s="106"/>
      <c r="X13" s="68" t="str">
        <f t="shared" si="8"/>
        <v>2</v>
      </c>
      <c r="Y13" s="106"/>
      <c r="Z13" s="68" t="str">
        <f t="shared" si="9"/>
        <v>3</v>
      </c>
      <c r="AA13" s="67"/>
      <c r="AB13" s="68" t="str">
        <f>IF(T13='DERNIER RESULTS'!$Q$2,"D","E")</f>
        <v>D</v>
      </c>
      <c r="AC13" s="67"/>
      <c r="AD13" s="68">
        <v>10</v>
      </c>
      <c r="AE13" s="109" t="str">
        <f t="shared" si="18"/>
        <v>FC Augsburg</v>
      </c>
      <c r="AF13" s="112" t="str">
        <f t="shared" si="10"/>
        <v>Werder Bremen</v>
      </c>
      <c r="AG13" s="112" t="str">
        <f t="shared" si="11"/>
        <v>2</v>
      </c>
      <c r="AH13" s="113" t="str">
        <f t="shared" si="12"/>
        <v>1</v>
      </c>
      <c r="AI13" s="67"/>
      <c r="AJ13" s="109">
        <v>27</v>
      </c>
      <c r="AK13" s="110" t="str">
        <f t="shared" si="13"/>
        <v>1. FC Union Berlin</v>
      </c>
      <c r="AL13" s="112" t="str">
        <f t="shared" si="14"/>
        <v>FC Augsburg</v>
      </c>
      <c r="AM13" s="112" t="str">
        <f t="shared" si="15"/>
        <v>2</v>
      </c>
      <c r="AN13" s="113" t="str">
        <f t="shared" si="16"/>
        <v>0</v>
      </c>
      <c r="AO13" s="67"/>
      <c r="AP13" s="104" t="str">
        <f>(EQUIPES!F16)</f>
        <v>FC Schalke 04</v>
      </c>
      <c r="AQ13" s="101"/>
      <c r="AR13" s="101"/>
      <c r="AS13" s="101"/>
      <c r="AT13" s="100"/>
      <c r="AU13" s="101"/>
      <c r="AV13" s="101"/>
      <c r="AW13" s="101"/>
      <c r="AX13" s="101"/>
      <c r="AY13" s="101"/>
    </row>
    <row r="14" spans="3:51" x14ac:dyDescent="0.25">
      <c r="C14" s="94" t="str">
        <f t="shared" si="0"/>
        <v/>
      </c>
      <c r="D14" s="95">
        <v>2</v>
      </c>
      <c r="E14" s="96" t="str">
        <f>BUNDESLIGA!F17&amp;IF(OR(BUNDESLIGA!G17="",BUNDESLIGA!H17=""),"",IF(BUNDESLIGA!G17&gt;BUNDESLIGA!H17,"",IF(BUNDESLIGA!G17&lt;BUNDESLIGA!H17,"","")))</f>
        <v>Fortuna Düsseldorf</v>
      </c>
      <c r="F14" s="96" t="str">
        <f>BUNDESLIGA!I17&amp;IF(OR(BUNDESLIGA!G17="",BUNDESLIGA!H17=""),"",IF(BUNDESLIGA!G17&lt;BUNDESLIGA!H17,"",IF(BUNDESLIGA!G17&gt;BUNDESLIGA!H17,"","")))</f>
        <v>Bayer Leverkusen</v>
      </c>
      <c r="G14" s="96" t="str">
        <f>IF(BUNDESLIGA!G17&lt;&gt;"",BUNDESLIGA!G17&amp;" - "&amp;BUNDESLIGA!H17,"")</f>
        <v>1 - 3</v>
      </c>
      <c r="H14" s="96" t="str">
        <f t="shared" si="17"/>
        <v>Fortuna Düsseldorf-Bayer Leverkusen</v>
      </c>
      <c r="I14" s="96" t="str">
        <f t="shared" si="1"/>
        <v>1</v>
      </c>
      <c r="J14" s="97" t="str">
        <f t="shared" si="2"/>
        <v>3</v>
      </c>
      <c r="L14" s="67">
        <f t="shared" si="3"/>
        <v>0</v>
      </c>
      <c r="M14" s="67">
        <f t="shared" si="4"/>
        <v>3</v>
      </c>
      <c r="O14" s="67" t="str">
        <f t="shared" si="5"/>
        <v/>
      </c>
      <c r="P14" s="67"/>
      <c r="Q14" s="68">
        <v>11</v>
      </c>
      <c r="R14" s="67"/>
      <c r="S14" s="67">
        <f>(IF(AB14&lt;&gt;"D",0,COUNTIF(AB$4:AB14,"D"))+IF(AB14&lt;&gt;"E",0,COUNTIF(AB$4:AB14,"E")+17))</f>
        <v>23</v>
      </c>
      <c r="T14" s="109" t="str">
        <f t="shared" si="6"/>
        <v>SC Paderborn 07</v>
      </c>
      <c r="U14" s="110"/>
      <c r="V14" s="111" t="str">
        <f t="shared" si="7"/>
        <v>FC Augsburg</v>
      </c>
      <c r="W14" s="106"/>
      <c r="X14" s="68" t="str">
        <f t="shared" si="8"/>
        <v>0</v>
      </c>
      <c r="Y14" s="106"/>
      <c r="Z14" s="68" t="str">
        <f t="shared" si="9"/>
        <v>1</v>
      </c>
      <c r="AA14" s="67"/>
      <c r="AB14" s="68" t="str">
        <f>IF(T14='DERNIER RESULTS'!$Q$2,"D","E")</f>
        <v>E</v>
      </c>
      <c r="AC14" s="67"/>
      <c r="AD14" s="68">
        <v>11</v>
      </c>
      <c r="AE14" s="109" t="str">
        <f t="shared" si="18"/>
        <v>FC Augsburg</v>
      </c>
      <c r="AF14" s="112" t="str">
        <f t="shared" si="10"/>
        <v>SC Freiburg</v>
      </c>
      <c r="AG14" s="112" t="str">
        <f t="shared" si="11"/>
        <v>1</v>
      </c>
      <c r="AH14" s="113" t="str">
        <f t="shared" si="12"/>
        <v>1</v>
      </c>
      <c r="AI14" s="67"/>
      <c r="AJ14" s="109">
        <v>28</v>
      </c>
      <c r="AK14" s="110" t="str">
        <f t="shared" si="13"/>
        <v>Eintracht Frankfurt</v>
      </c>
      <c r="AL14" s="112" t="str">
        <f t="shared" si="14"/>
        <v>FC Augsburg</v>
      </c>
      <c r="AM14" s="112" t="str">
        <f t="shared" si="15"/>
        <v>5</v>
      </c>
      <c r="AN14" s="113" t="str">
        <f t="shared" si="16"/>
        <v>0</v>
      </c>
      <c r="AO14" s="67"/>
      <c r="AP14" s="104" t="str">
        <f>(EQUIPES!F17)</f>
        <v>Fortuna Düsseldorf</v>
      </c>
      <c r="AQ14" s="101"/>
      <c r="AR14" s="101"/>
      <c r="AS14" s="101"/>
      <c r="AT14" s="100"/>
      <c r="AU14" s="101"/>
      <c r="AV14" s="101"/>
      <c r="AW14" s="101"/>
      <c r="AX14" s="101"/>
      <c r="AY14" s="101"/>
    </row>
    <row r="15" spans="3:51" x14ac:dyDescent="0.25">
      <c r="C15" s="94" t="str">
        <f t="shared" si="0"/>
        <v/>
      </c>
      <c r="D15" s="95">
        <v>2</v>
      </c>
      <c r="E15" s="96" t="str">
        <f>BUNDESLIGA!F18&amp;IF(OR(BUNDESLIGA!G18="",BUNDESLIGA!H18=""),"",IF(BUNDESLIGA!G18&gt;BUNDESLIGA!H18,"",IF(BUNDESLIGA!G18&lt;BUNDESLIGA!H18,"","")))</f>
        <v>1. FSV Mainz 05</v>
      </c>
      <c r="F15" s="96" t="str">
        <f>BUNDESLIGA!I18&amp;IF(OR(BUNDESLIGA!G18="",BUNDESLIGA!H18=""),"",IF(BUNDESLIGA!G18&lt;BUNDESLIGA!H18,"",IF(BUNDESLIGA!G18&gt;BUNDESLIGA!H18,"","")))</f>
        <v>Bor. Mönchengladbach</v>
      </c>
      <c r="G15" s="96" t="str">
        <f>IF(BUNDESLIGA!G18&lt;&gt;"",BUNDESLIGA!G18&amp;" - "&amp;BUNDESLIGA!H18,"")</f>
        <v>1 - 3</v>
      </c>
      <c r="H15" s="96" t="str">
        <f t="shared" si="17"/>
        <v>1. FSV Mainz 05-Bor. Mönchengladbach</v>
      </c>
      <c r="I15" s="96" t="str">
        <f t="shared" si="1"/>
        <v>1</v>
      </c>
      <c r="J15" s="97" t="str">
        <f t="shared" si="2"/>
        <v>3</v>
      </c>
      <c r="L15" s="67">
        <f t="shared" si="3"/>
        <v>0</v>
      </c>
      <c r="M15" s="67">
        <f t="shared" si="4"/>
        <v>3</v>
      </c>
      <c r="O15" s="67" t="str">
        <f t="shared" si="5"/>
        <v/>
      </c>
      <c r="P15" s="67"/>
      <c r="Q15" s="68">
        <v>12</v>
      </c>
      <c r="R15" s="67"/>
      <c r="S15" s="67">
        <f>(IF(AB15&lt;&gt;"D",0,COUNTIF(AB$4:AB15,"D"))+IF(AB15&lt;&gt;"E",0,COUNTIF(AB$4:AB15,"E")+17))</f>
        <v>6</v>
      </c>
      <c r="T15" s="109" t="str">
        <f t="shared" si="6"/>
        <v>FC Augsburg</v>
      </c>
      <c r="U15" s="110"/>
      <c r="V15" s="111" t="str">
        <f t="shared" si="7"/>
        <v>Hertha BSC</v>
      </c>
      <c r="W15" s="106"/>
      <c r="X15" s="68" t="str">
        <f t="shared" si="8"/>
        <v>4</v>
      </c>
      <c r="Y15" s="106"/>
      <c r="Z15" s="68" t="str">
        <f t="shared" si="9"/>
        <v>0</v>
      </c>
      <c r="AA15" s="67"/>
      <c r="AB15" s="68" t="str">
        <f>IF(T15='DERNIER RESULTS'!$Q$2,"D","E")</f>
        <v>D</v>
      </c>
      <c r="AC15" s="67"/>
      <c r="AD15" s="68">
        <v>12</v>
      </c>
      <c r="AE15" s="109" t="str">
        <f t="shared" si="18"/>
        <v>FC Augsburg</v>
      </c>
      <c r="AF15" s="112" t="str">
        <f t="shared" si="10"/>
        <v>Bor. Mönchengladbach</v>
      </c>
      <c r="AG15" s="112" t="str">
        <f t="shared" si="11"/>
        <v>2</v>
      </c>
      <c r="AH15" s="113" t="str">
        <f t="shared" si="12"/>
        <v>3</v>
      </c>
      <c r="AI15" s="67"/>
      <c r="AJ15" s="109">
        <v>29</v>
      </c>
      <c r="AK15" s="110" t="str">
        <f t="shared" si="13"/>
        <v>Bayer Leverkusen</v>
      </c>
      <c r="AL15" s="112" t="str">
        <f t="shared" si="14"/>
        <v>FC Augsburg</v>
      </c>
      <c r="AM15" s="112" t="str">
        <f t="shared" si="15"/>
        <v>2</v>
      </c>
      <c r="AN15" s="113" t="str">
        <f t="shared" si="16"/>
        <v>0</v>
      </c>
      <c r="AO15" s="67"/>
      <c r="AP15" s="104" t="str">
        <f>(EQUIPES!F18)</f>
        <v>Hertha BSC</v>
      </c>
      <c r="AQ15" s="101"/>
      <c r="AR15" s="101"/>
      <c r="AS15" s="101"/>
      <c r="AT15" s="100"/>
      <c r="AU15" s="101"/>
      <c r="AV15" s="101"/>
      <c r="AW15" s="101"/>
      <c r="AX15" s="101"/>
      <c r="AY15" s="101"/>
    </row>
    <row r="16" spans="3:51" x14ac:dyDescent="0.25">
      <c r="C16" s="94">
        <f t="shared" si="0"/>
        <v>2</v>
      </c>
      <c r="D16" s="95">
        <v>2</v>
      </c>
      <c r="E16" s="96" t="str">
        <f>BUNDESLIGA!F19&amp;IF(OR(BUNDESLIGA!G19="",BUNDESLIGA!H19=""),"",IF(BUNDESLIGA!G19&gt;BUNDESLIGA!H19,"",IF(BUNDESLIGA!G19&lt;BUNDESLIGA!H19,"","")))</f>
        <v>FC Augsburg</v>
      </c>
      <c r="F16" s="96" t="str">
        <f>BUNDESLIGA!I19&amp;IF(OR(BUNDESLIGA!G19="",BUNDESLIGA!H19=""),"",IF(BUNDESLIGA!G19&lt;BUNDESLIGA!H19,"",IF(BUNDESLIGA!G19&gt;BUNDESLIGA!H19,"","")))</f>
        <v>1. FC Union Berlin</v>
      </c>
      <c r="G16" s="96" t="str">
        <f>IF(BUNDESLIGA!G19&lt;&gt;"",BUNDESLIGA!G19&amp;" - "&amp;BUNDESLIGA!H19,"")</f>
        <v>1 - 1</v>
      </c>
      <c r="H16" s="96" t="str">
        <f t="shared" si="17"/>
        <v>FC Augsburg-1. FC Union Berlin</v>
      </c>
      <c r="I16" s="96" t="str">
        <f t="shared" si="1"/>
        <v>1</v>
      </c>
      <c r="J16" s="97" t="str">
        <f t="shared" si="2"/>
        <v>1</v>
      </c>
      <c r="L16" s="67">
        <f t="shared" si="3"/>
        <v>1</v>
      </c>
      <c r="M16" s="67">
        <f t="shared" si="4"/>
        <v>1</v>
      </c>
      <c r="O16" s="67">
        <f t="shared" si="5"/>
        <v>16</v>
      </c>
      <c r="P16" s="67"/>
      <c r="Q16" s="68">
        <v>13</v>
      </c>
      <c r="R16" s="67"/>
      <c r="S16" s="67">
        <f>(IF(AB16&lt;&gt;"D",0,COUNTIF(AB$4:AB16,"D"))+IF(AB16&lt;&gt;"E",0,COUNTIF(AB$4:AB16,"E")+17))</f>
        <v>24</v>
      </c>
      <c r="T16" s="109" t="str">
        <f t="shared" si="6"/>
        <v>1. FC Köln</v>
      </c>
      <c r="U16" s="110"/>
      <c r="V16" s="111" t="str">
        <f t="shared" si="7"/>
        <v>FC Augsburg</v>
      </c>
      <c r="W16" s="106"/>
      <c r="X16" s="68" t="str">
        <f t="shared" si="8"/>
        <v>1</v>
      </c>
      <c r="Y16" s="106"/>
      <c r="Z16" s="68" t="str">
        <f t="shared" si="9"/>
        <v>1</v>
      </c>
      <c r="AA16" s="67"/>
      <c r="AB16" s="68" t="str">
        <f>IF(T16='DERNIER RESULTS'!$Q$2,"D","E")</f>
        <v>E</v>
      </c>
      <c r="AC16" s="67"/>
      <c r="AD16" s="68">
        <v>13</v>
      </c>
      <c r="AE16" s="109" t="str">
        <f t="shared" si="18"/>
        <v>FC Augsburg</v>
      </c>
      <c r="AF16" s="112" t="str">
        <f t="shared" si="10"/>
        <v>VfL Wolfsburg</v>
      </c>
      <c r="AG16" s="112" t="str">
        <f t="shared" si="11"/>
        <v/>
      </c>
      <c r="AH16" s="113" t="str">
        <f t="shared" si="12"/>
        <v/>
      </c>
      <c r="AI16" s="67"/>
      <c r="AJ16" s="109">
        <v>30</v>
      </c>
      <c r="AK16" s="110" t="str">
        <f t="shared" si="13"/>
        <v>Bayern München</v>
      </c>
      <c r="AL16" s="112" t="str">
        <f t="shared" si="14"/>
        <v>FC Augsburg</v>
      </c>
      <c r="AM16" s="112" t="str">
        <f t="shared" si="15"/>
        <v/>
      </c>
      <c r="AN16" s="113" t="str">
        <f t="shared" si="16"/>
        <v/>
      </c>
      <c r="AO16" s="67"/>
      <c r="AP16" s="104" t="str">
        <f>(EQUIPES!F19)</f>
        <v>RB Leipzig</v>
      </c>
      <c r="AQ16" s="101"/>
      <c r="AR16" s="101"/>
      <c r="AS16" s="101"/>
      <c r="AT16" s="100"/>
      <c r="AU16" s="101"/>
      <c r="AV16" s="101"/>
      <c r="AW16" s="101"/>
      <c r="AX16" s="101"/>
      <c r="AY16" s="101"/>
    </row>
    <row r="17" spans="3:51" x14ac:dyDescent="0.25">
      <c r="C17" s="94" t="str">
        <f t="shared" si="0"/>
        <v/>
      </c>
      <c r="D17" s="95">
        <v>2</v>
      </c>
      <c r="E17" s="96" t="str">
        <f>BUNDESLIGA!F20&amp;IF(OR(BUNDESLIGA!G20="",BUNDESLIGA!H20=""),"",IF(BUNDESLIGA!G20&gt;BUNDESLIGA!H20,"",IF(BUNDESLIGA!G20&lt;BUNDESLIGA!H20,"","")))</f>
        <v>SC Paderborn 07</v>
      </c>
      <c r="F17" s="96" t="str">
        <f>BUNDESLIGA!I20&amp;IF(OR(BUNDESLIGA!G20="",BUNDESLIGA!H20=""),"",IF(BUNDESLIGA!G20&lt;BUNDESLIGA!H20,"",IF(BUNDESLIGA!G20&gt;BUNDESLIGA!H20,"","")))</f>
        <v>SC Freiburg</v>
      </c>
      <c r="G17" s="96" t="str">
        <f>IF(BUNDESLIGA!G20&lt;&gt;"",BUNDESLIGA!G20&amp;" - "&amp;BUNDESLIGA!H20,"")</f>
        <v>1 - 3</v>
      </c>
      <c r="H17" s="96" t="str">
        <f t="shared" si="17"/>
        <v>SC Paderborn 07-SC Freiburg</v>
      </c>
      <c r="I17" s="96" t="str">
        <f t="shared" si="1"/>
        <v>1</v>
      </c>
      <c r="J17" s="97" t="str">
        <f t="shared" si="2"/>
        <v>3</v>
      </c>
      <c r="L17" s="67">
        <f t="shared" si="3"/>
        <v>0</v>
      </c>
      <c r="M17" s="67">
        <f t="shared" si="4"/>
        <v>3</v>
      </c>
      <c r="O17" s="67" t="str">
        <f t="shared" si="5"/>
        <v/>
      </c>
      <c r="P17" s="67"/>
      <c r="Q17" s="68">
        <v>14</v>
      </c>
      <c r="R17" s="67"/>
      <c r="S17" s="67">
        <f>(IF(AB17&lt;&gt;"D",0,COUNTIF(AB$4:AB17,"D"))+IF(AB17&lt;&gt;"E",0,COUNTIF(AB$4:AB17,"E")+17))</f>
        <v>7</v>
      </c>
      <c r="T17" s="109" t="str">
        <f t="shared" si="6"/>
        <v>FC Augsburg</v>
      </c>
      <c r="U17" s="110"/>
      <c r="V17" s="111" t="str">
        <f t="shared" si="7"/>
        <v>1. FSV Mainz 05</v>
      </c>
      <c r="W17" s="106"/>
      <c r="X17" s="68" t="str">
        <f t="shared" si="8"/>
        <v>2</v>
      </c>
      <c r="Y17" s="106"/>
      <c r="Z17" s="68" t="str">
        <f t="shared" si="9"/>
        <v>1</v>
      </c>
      <c r="AA17" s="67"/>
      <c r="AB17" s="68" t="str">
        <f>IF(T17='DERNIER RESULTS'!$Q$2,"D","E")</f>
        <v>D</v>
      </c>
      <c r="AC17" s="67"/>
      <c r="AD17" s="68">
        <v>14</v>
      </c>
      <c r="AE17" s="109" t="str">
        <f t="shared" si="18"/>
        <v>FC Augsburg</v>
      </c>
      <c r="AF17" s="112" t="str">
        <f t="shared" si="10"/>
        <v>SC Paderborn 07</v>
      </c>
      <c r="AG17" s="112" t="str">
        <f t="shared" si="11"/>
        <v/>
      </c>
      <c r="AH17" s="113" t="str">
        <f t="shared" si="12"/>
        <v/>
      </c>
      <c r="AI17" s="67"/>
      <c r="AJ17" s="109">
        <v>31</v>
      </c>
      <c r="AK17" s="110" t="str">
        <f t="shared" si="13"/>
        <v>FC Schalke 04</v>
      </c>
      <c r="AL17" s="112" t="str">
        <f t="shared" si="14"/>
        <v>FC Augsburg</v>
      </c>
      <c r="AM17" s="112" t="str">
        <f t="shared" si="15"/>
        <v/>
      </c>
      <c r="AN17" s="113" t="str">
        <f t="shared" si="16"/>
        <v/>
      </c>
      <c r="AO17" s="67"/>
      <c r="AP17" s="104" t="str">
        <f>(EQUIPES!F20)</f>
        <v>SC Freiburg</v>
      </c>
      <c r="AQ17" s="101"/>
      <c r="AR17" s="101"/>
      <c r="AS17" s="101"/>
      <c r="AT17" s="100"/>
      <c r="AU17" s="101"/>
      <c r="AV17" s="101"/>
      <c r="AW17" s="101"/>
      <c r="AX17" s="101"/>
      <c r="AY17" s="101"/>
    </row>
    <row r="18" spans="3:51" x14ac:dyDescent="0.25">
      <c r="C18" s="94" t="str">
        <f t="shared" si="0"/>
        <v/>
      </c>
      <c r="D18" s="95">
        <v>2</v>
      </c>
      <c r="E18" s="96" t="str">
        <f>BUNDESLIGA!F21&amp;IF(OR(BUNDESLIGA!G21="",BUNDESLIGA!H21=""),"",IF(BUNDESLIGA!G21&gt;BUNDESLIGA!H21,"",IF(BUNDESLIGA!G21&lt;BUNDESLIGA!H21,"","")))</f>
        <v>FC Schalke 04</v>
      </c>
      <c r="F18" s="96" t="str">
        <f>BUNDESLIGA!I21&amp;IF(OR(BUNDESLIGA!G21="",BUNDESLIGA!H21=""),"",IF(BUNDESLIGA!G21&lt;BUNDESLIGA!H21,"",IF(BUNDESLIGA!G21&gt;BUNDESLIGA!H21,"","")))</f>
        <v>Bayern München</v>
      </c>
      <c r="G18" s="96" t="str">
        <f>IF(BUNDESLIGA!G21&lt;&gt;"",BUNDESLIGA!G21&amp;" - "&amp;BUNDESLIGA!H21,"")</f>
        <v>0 - 3</v>
      </c>
      <c r="H18" s="96" t="str">
        <f t="shared" si="17"/>
        <v>FC Schalke 04-Bayern München</v>
      </c>
      <c r="I18" s="96" t="str">
        <f t="shared" si="1"/>
        <v>0</v>
      </c>
      <c r="J18" s="97" t="str">
        <f t="shared" si="2"/>
        <v>3</v>
      </c>
      <c r="L18" s="67">
        <f t="shared" si="3"/>
        <v>0</v>
      </c>
      <c r="M18" s="67">
        <f t="shared" si="4"/>
        <v>3</v>
      </c>
      <c r="O18" s="67" t="str">
        <f t="shared" si="5"/>
        <v/>
      </c>
      <c r="P18" s="67"/>
      <c r="Q18" s="68">
        <v>15</v>
      </c>
      <c r="R18" s="67"/>
      <c r="S18" s="67">
        <f>(IF(AB18&lt;&gt;"D",0,COUNTIF(AB$4:AB18,"D"))+IF(AB18&lt;&gt;"E",0,COUNTIF(AB$4:AB18,"E")+17))</f>
        <v>25</v>
      </c>
      <c r="T18" s="109" t="str">
        <f t="shared" si="6"/>
        <v>1899 Hoffenheim</v>
      </c>
      <c r="U18" s="110"/>
      <c r="V18" s="111" t="str">
        <f t="shared" si="7"/>
        <v>FC Augsburg</v>
      </c>
      <c r="W18" s="106"/>
      <c r="X18" s="68" t="str">
        <f t="shared" si="8"/>
        <v>2</v>
      </c>
      <c r="Y18" s="106"/>
      <c r="Z18" s="68" t="str">
        <f t="shared" si="9"/>
        <v>4</v>
      </c>
      <c r="AA18" s="67"/>
      <c r="AB18" s="68" t="str">
        <f>IF(T18='DERNIER RESULTS'!$Q$2,"D","E")</f>
        <v>E</v>
      </c>
      <c r="AC18" s="67"/>
      <c r="AD18" s="68">
        <v>15</v>
      </c>
      <c r="AE18" s="109" t="str">
        <f t="shared" si="18"/>
        <v>FC Augsburg</v>
      </c>
      <c r="AF18" s="112" t="str">
        <f t="shared" si="10"/>
        <v>1. FC Köln</v>
      </c>
      <c r="AG18" s="112" t="str">
        <f t="shared" si="11"/>
        <v/>
      </c>
      <c r="AH18" s="113" t="str">
        <f t="shared" si="12"/>
        <v/>
      </c>
      <c r="AI18" s="67"/>
      <c r="AJ18" s="109">
        <v>32</v>
      </c>
      <c r="AK18" s="110" t="str">
        <f t="shared" si="13"/>
        <v>Hertha BSC</v>
      </c>
      <c r="AL18" s="112" t="str">
        <f t="shared" si="14"/>
        <v>FC Augsburg</v>
      </c>
      <c r="AM18" s="112" t="str">
        <f t="shared" si="15"/>
        <v/>
      </c>
      <c r="AN18" s="113" t="str">
        <f t="shared" si="16"/>
        <v/>
      </c>
      <c r="AO18" s="67"/>
      <c r="AP18" s="104" t="str">
        <f>(EQUIPES!F21)</f>
        <v>SC Paderborn 07</v>
      </c>
      <c r="AQ18" s="101"/>
      <c r="AR18" s="101"/>
      <c r="AS18" s="101"/>
      <c r="AT18" s="100"/>
      <c r="AU18" s="101"/>
      <c r="AV18" s="101"/>
      <c r="AW18" s="101"/>
      <c r="AX18" s="101"/>
      <c r="AY18" s="101"/>
    </row>
    <row r="19" spans="3:51" x14ac:dyDescent="0.25">
      <c r="C19" s="94" t="str">
        <f t="shared" si="0"/>
        <v/>
      </c>
      <c r="D19" s="95">
        <v>2</v>
      </c>
      <c r="E19" s="96" t="str">
        <f>BUNDESLIGA!F22&amp;IF(OR(BUNDESLIGA!G22="",BUNDESLIGA!H22=""),"",IF(BUNDESLIGA!G22&gt;BUNDESLIGA!H22,"",IF(BUNDESLIGA!G22&lt;BUNDESLIGA!H22,"","")))</f>
        <v>RB Leipzig</v>
      </c>
      <c r="F19" s="96" t="str">
        <f>BUNDESLIGA!I22&amp;IF(OR(BUNDESLIGA!G22="",BUNDESLIGA!H22=""),"",IF(BUNDESLIGA!G22&lt;BUNDESLIGA!H22,"",IF(BUNDESLIGA!G22&gt;BUNDESLIGA!H22,"","")))</f>
        <v>Eintracht Frankfurt</v>
      </c>
      <c r="G19" s="96" t="str">
        <f>IF(BUNDESLIGA!G22&lt;&gt;"",BUNDESLIGA!G22&amp;" - "&amp;BUNDESLIGA!H22,"")</f>
        <v>2 - 1</v>
      </c>
      <c r="H19" s="96" t="str">
        <f t="shared" si="17"/>
        <v>RB Leipzig-Eintracht Frankfurt</v>
      </c>
      <c r="I19" s="96" t="str">
        <f t="shared" si="1"/>
        <v>2</v>
      </c>
      <c r="J19" s="97" t="str">
        <f t="shared" si="2"/>
        <v>1</v>
      </c>
      <c r="L19" s="67">
        <f t="shared" si="3"/>
        <v>3</v>
      </c>
      <c r="M19" s="67">
        <f t="shared" si="4"/>
        <v>0</v>
      </c>
      <c r="O19" s="67" t="str">
        <f t="shared" si="5"/>
        <v/>
      </c>
      <c r="P19" s="67"/>
      <c r="Q19" s="68">
        <v>16</v>
      </c>
      <c r="R19" s="67"/>
      <c r="S19" s="67">
        <f>(IF(AB19&lt;&gt;"D",0,COUNTIF(AB$4:AB19,"D"))+IF(AB19&lt;&gt;"E",0,COUNTIF(AB$4:AB19,"E")+17))</f>
        <v>8</v>
      </c>
      <c r="T19" s="109" t="str">
        <f t="shared" si="6"/>
        <v>FC Augsburg</v>
      </c>
      <c r="U19" s="110"/>
      <c r="V19" s="111" t="str">
        <f t="shared" si="7"/>
        <v>Fortuna Düsseldorf</v>
      </c>
      <c r="W19" s="106"/>
      <c r="X19" s="68" t="str">
        <f t="shared" si="8"/>
        <v>3</v>
      </c>
      <c r="Y19" s="106"/>
      <c r="Z19" s="68" t="str">
        <f t="shared" si="9"/>
        <v>0</v>
      </c>
      <c r="AA19" s="67"/>
      <c r="AB19" s="68" t="str">
        <f>IF(T19='DERNIER RESULTS'!$Q$2,"D","E")</f>
        <v>D</v>
      </c>
      <c r="AC19" s="67"/>
      <c r="AD19" s="68">
        <v>16</v>
      </c>
      <c r="AE19" s="109" t="str">
        <f t="shared" si="18"/>
        <v>FC Augsburg</v>
      </c>
      <c r="AF19" s="112" t="str">
        <f t="shared" si="10"/>
        <v>1899 Hoffenheim</v>
      </c>
      <c r="AG19" s="112" t="str">
        <f t="shared" si="11"/>
        <v/>
      </c>
      <c r="AH19" s="113" t="str">
        <f t="shared" si="12"/>
        <v/>
      </c>
      <c r="AI19" s="67"/>
      <c r="AJ19" s="109">
        <v>33</v>
      </c>
      <c r="AK19" s="110" t="str">
        <f t="shared" si="13"/>
        <v>1. FSV Mainz 05</v>
      </c>
      <c r="AL19" s="112" t="str">
        <f t="shared" si="14"/>
        <v>FC Augsburg</v>
      </c>
      <c r="AM19" s="112" t="str">
        <f t="shared" si="15"/>
        <v/>
      </c>
      <c r="AN19" s="113" t="str">
        <f t="shared" si="16"/>
        <v/>
      </c>
      <c r="AO19" s="67"/>
      <c r="AP19" s="104" t="str">
        <f>(EQUIPES!F22)</f>
        <v>VfL Wolfsburg</v>
      </c>
      <c r="AQ19" s="101"/>
      <c r="AR19" s="101"/>
      <c r="AS19" s="101"/>
      <c r="AT19" s="100"/>
      <c r="AU19" s="101"/>
      <c r="AV19" s="101"/>
      <c r="AW19" s="101"/>
      <c r="AX19" s="101"/>
      <c r="AY19" s="101"/>
    </row>
    <row r="20" spans="3:51" x14ac:dyDescent="0.25">
      <c r="C20" s="94" t="str">
        <f t="shared" si="0"/>
        <v/>
      </c>
      <c r="D20" s="95">
        <v>2</v>
      </c>
      <c r="E20" s="96" t="str">
        <f>BUNDESLIGA!F23&amp;IF(OR(BUNDESLIGA!G23="",BUNDESLIGA!H23=""),"",IF(BUNDESLIGA!G23&gt;BUNDESLIGA!H23,"",IF(BUNDESLIGA!G23&lt;BUNDESLIGA!H23,"","")))</f>
        <v>Hertha BSC</v>
      </c>
      <c r="F20" s="96" t="str">
        <f>BUNDESLIGA!I23&amp;IF(OR(BUNDESLIGA!G23="",BUNDESLIGA!H23=""),"",IF(BUNDESLIGA!G23&lt;BUNDESLIGA!H23,"",IF(BUNDESLIGA!G23&gt;BUNDESLIGA!H23,"","")))</f>
        <v>VfL Wolfsburg</v>
      </c>
      <c r="G20" s="96" t="str">
        <f>IF(BUNDESLIGA!G23&lt;&gt;"",BUNDESLIGA!G23&amp;" - "&amp;BUNDESLIGA!H23,"")</f>
        <v>0 - 3</v>
      </c>
      <c r="H20" s="96" t="str">
        <f t="shared" si="17"/>
        <v>Hertha BSC-VfL Wolfsburg</v>
      </c>
      <c r="I20" s="96" t="str">
        <f t="shared" si="1"/>
        <v>0</v>
      </c>
      <c r="J20" s="97" t="str">
        <f t="shared" si="2"/>
        <v>3</v>
      </c>
      <c r="L20" s="67">
        <f t="shared" si="3"/>
        <v>0</v>
      </c>
      <c r="M20" s="67">
        <f t="shared" si="4"/>
        <v>3</v>
      </c>
      <c r="O20" s="67" t="str">
        <f t="shared" si="5"/>
        <v/>
      </c>
      <c r="P20" s="67"/>
      <c r="Q20" s="68">
        <v>17</v>
      </c>
      <c r="R20" s="67"/>
      <c r="S20" s="67">
        <f>(IF(AB20&lt;&gt;"D",0,COUNTIF(AB$4:AB20,"D"))+IF(AB20&lt;&gt;"E",0,COUNTIF(AB$4:AB20,"E")+17))</f>
        <v>26</v>
      </c>
      <c r="T20" s="109" t="str">
        <f t="shared" si="6"/>
        <v>RB Leipzig</v>
      </c>
      <c r="U20" s="110"/>
      <c r="V20" s="111" t="str">
        <f t="shared" si="7"/>
        <v>FC Augsburg</v>
      </c>
      <c r="W20" s="106"/>
      <c r="X20" s="68" t="str">
        <f t="shared" si="8"/>
        <v>3</v>
      </c>
      <c r="Y20" s="106"/>
      <c r="Z20" s="68" t="str">
        <f t="shared" si="9"/>
        <v>1</v>
      </c>
      <c r="AA20" s="67"/>
      <c r="AB20" s="68" t="str">
        <f>IF(T20='DERNIER RESULTS'!$Q$2,"D","E")</f>
        <v>E</v>
      </c>
      <c r="AC20" s="67"/>
      <c r="AD20" s="68">
        <v>17</v>
      </c>
      <c r="AE20" s="109" t="str">
        <f t="shared" si="18"/>
        <v>FC Augsburg</v>
      </c>
      <c r="AF20" s="112" t="str">
        <f t="shared" si="10"/>
        <v>RB Leipzig</v>
      </c>
      <c r="AG20" s="112" t="str">
        <f t="shared" si="11"/>
        <v/>
      </c>
      <c r="AH20" s="113" t="str">
        <f t="shared" si="12"/>
        <v/>
      </c>
      <c r="AI20" s="67"/>
      <c r="AJ20" s="109">
        <v>34</v>
      </c>
      <c r="AK20" s="110" t="str">
        <f t="shared" si="13"/>
        <v>Fortuna Düsseldorf</v>
      </c>
      <c r="AL20" s="112" t="str">
        <f t="shared" si="14"/>
        <v>FC Augsburg</v>
      </c>
      <c r="AM20" s="112" t="str">
        <f t="shared" si="15"/>
        <v/>
      </c>
      <c r="AN20" s="113" t="str">
        <f t="shared" si="16"/>
        <v/>
      </c>
      <c r="AO20" s="67"/>
      <c r="AP20" s="104" t="str">
        <f>(EQUIPES!F23)</f>
        <v>Werder Bremen</v>
      </c>
      <c r="AR20" s="67"/>
    </row>
    <row r="21" spans="3:51" x14ac:dyDescent="0.25">
      <c r="C21" s="94" t="str">
        <f t="shared" si="0"/>
        <v/>
      </c>
      <c r="D21" s="95">
        <v>3</v>
      </c>
      <c r="E21" s="96" t="str">
        <f>BUNDESLIGA!F26&amp;IF(OR(BUNDESLIGA!G26="",BUNDESLIGA!H26=""),"",IF(BUNDESLIGA!G26&gt;BUNDESLIGA!H26,"",IF(BUNDESLIGA!G26&lt;BUNDESLIGA!H26,"","")))</f>
        <v>Bor. Mönchengladbach</v>
      </c>
      <c r="F21" s="96" t="str">
        <f>BUNDESLIGA!I26&amp;IF(OR(BUNDESLIGA!G26="",BUNDESLIGA!H26=""),"",IF(BUNDESLIGA!G26&lt;BUNDESLIGA!H26,"",IF(BUNDESLIGA!G26&gt;BUNDESLIGA!H26,"","")))</f>
        <v>RB Leipzig</v>
      </c>
      <c r="G21" s="96" t="str">
        <f>IF(BUNDESLIGA!G26&lt;&gt;"",BUNDESLIGA!G26&amp;" - "&amp;BUNDESLIGA!H26,"")</f>
        <v>1 - 3</v>
      </c>
      <c r="H21" s="96" t="str">
        <f t="shared" si="17"/>
        <v>Bor. Mönchengladbach-RB Leipzig</v>
      </c>
      <c r="I21" s="96" t="str">
        <f t="shared" si="1"/>
        <v>1</v>
      </c>
      <c r="J21" s="97" t="str">
        <f t="shared" si="2"/>
        <v>3</v>
      </c>
      <c r="L21" s="67">
        <f t="shared" si="3"/>
        <v>0</v>
      </c>
      <c r="M21" s="67">
        <f t="shared" si="4"/>
        <v>3</v>
      </c>
      <c r="O21" s="67" t="str">
        <f t="shared" si="5"/>
        <v/>
      </c>
      <c r="P21" s="67"/>
      <c r="Q21" s="68">
        <v>18</v>
      </c>
      <c r="R21" s="67"/>
      <c r="S21" s="67">
        <f>(IF(AB21&lt;&gt;"D",0,COUNTIF(AB$4:AB21,"D"))+IF(AB21&lt;&gt;"E",0,COUNTIF(AB$4:AB21,"E")+17))</f>
        <v>9</v>
      </c>
      <c r="T21" s="109" t="str">
        <f t="shared" si="6"/>
        <v>FC Augsburg</v>
      </c>
      <c r="U21" s="110"/>
      <c r="V21" s="111" t="str">
        <f t="shared" si="7"/>
        <v>Borussia Dortmund</v>
      </c>
      <c r="W21" s="106"/>
      <c r="X21" s="68" t="str">
        <f t="shared" si="8"/>
        <v>3</v>
      </c>
      <c r="Y21" s="106"/>
      <c r="Z21" s="68" t="str">
        <f t="shared" si="9"/>
        <v>5</v>
      </c>
      <c r="AA21" s="67"/>
      <c r="AB21" s="68" t="str">
        <f>IF(T21='DERNIER RESULTS'!$Q$2,"D","E")</f>
        <v>D</v>
      </c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  <c r="AN21" s="67"/>
      <c r="AO21" s="67"/>
      <c r="AP21" s="104"/>
    </row>
    <row r="22" spans="3:51" x14ac:dyDescent="0.25">
      <c r="C22" s="94" t="str">
        <f t="shared" si="0"/>
        <v/>
      </c>
      <c r="D22" s="95">
        <v>3</v>
      </c>
      <c r="E22" s="96" t="str">
        <f>BUNDESLIGA!F27&amp;IF(OR(BUNDESLIGA!G27="",BUNDESLIGA!H27=""),"",IF(BUNDESLIGA!G27&gt;BUNDESLIGA!H27,"",IF(BUNDESLIGA!G27&lt;BUNDESLIGA!H27,"","")))</f>
        <v>Bayern München</v>
      </c>
      <c r="F22" s="96" t="str">
        <f>BUNDESLIGA!I27&amp;IF(OR(BUNDESLIGA!G27="",BUNDESLIGA!H27=""),"",IF(BUNDESLIGA!G27&lt;BUNDESLIGA!H27,"",IF(BUNDESLIGA!G27&gt;BUNDESLIGA!H27,"","")))</f>
        <v>1. FSV Mainz 05</v>
      </c>
      <c r="G22" s="96" t="str">
        <f>IF(BUNDESLIGA!G27&lt;&gt;"",BUNDESLIGA!G27&amp;" - "&amp;BUNDESLIGA!H27,"")</f>
        <v>6 - 1</v>
      </c>
      <c r="H22" s="96" t="str">
        <f t="shared" si="17"/>
        <v>Bayern München-1. FSV Mainz 05</v>
      </c>
      <c r="I22" s="96" t="str">
        <f t="shared" si="1"/>
        <v>6</v>
      </c>
      <c r="J22" s="97" t="str">
        <f t="shared" si="2"/>
        <v>1</v>
      </c>
      <c r="L22" s="67">
        <f t="shared" si="3"/>
        <v>3</v>
      </c>
      <c r="M22" s="67">
        <f t="shared" si="4"/>
        <v>0</v>
      </c>
      <c r="O22" s="67" t="str">
        <f t="shared" si="5"/>
        <v/>
      </c>
      <c r="P22" s="67"/>
      <c r="Q22" s="68">
        <v>19</v>
      </c>
      <c r="R22" s="67"/>
      <c r="S22" s="67">
        <f>(IF(AB22&lt;&gt;"D",0,COUNTIF(AB$4:AB22,"D"))+IF(AB22&lt;&gt;"E",0,COUNTIF(AB$4:AB22,"E")+17))</f>
        <v>27</v>
      </c>
      <c r="T22" s="109" t="str">
        <f t="shared" si="6"/>
        <v>1. FC Union Berlin</v>
      </c>
      <c r="U22" s="110"/>
      <c r="V22" s="111" t="str">
        <f t="shared" si="7"/>
        <v>FC Augsburg</v>
      </c>
      <c r="W22" s="106"/>
      <c r="X22" s="68" t="str">
        <f t="shared" si="8"/>
        <v>2</v>
      </c>
      <c r="Y22" s="106"/>
      <c r="Z22" s="68" t="str">
        <f t="shared" si="9"/>
        <v>0</v>
      </c>
      <c r="AA22" s="67"/>
      <c r="AB22" s="68" t="str">
        <f>IF(T22='DERNIER RESULTS'!$Q$2,"D","E")</f>
        <v>E</v>
      </c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  <c r="AN22" s="67"/>
      <c r="AO22" s="67"/>
      <c r="AP22" s="104"/>
    </row>
    <row r="23" spans="3:51" x14ac:dyDescent="0.25">
      <c r="C23" s="94" t="str">
        <f t="shared" si="0"/>
        <v/>
      </c>
      <c r="D23" s="95">
        <v>3</v>
      </c>
      <c r="E23" s="96" t="str">
        <f>BUNDESLIGA!F28&amp;IF(OR(BUNDESLIGA!G28="",BUNDESLIGA!H28=""),"",IF(BUNDESLIGA!G28&gt;BUNDESLIGA!H28,"",IF(BUNDESLIGA!G28&lt;BUNDESLIGA!H28,"","")))</f>
        <v>Bayer Leverkusen</v>
      </c>
      <c r="F23" s="96" t="str">
        <f>BUNDESLIGA!I28&amp;IF(OR(BUNDESLIGA!G28="",BUNDESLIGA!H28=""),"",IF(BUNDESLIGA!G28&lt;BUNDESLIGA!H28,"",IF(BUNDESLIGA!G28&gt;BUNDESLIGA!H28,"","")))</f>
        <v>1899 Hoffenheim</v>
      </c>
      <c r="G23" s="96" t="str">
        <f>IF(BUNDESLIGA!G28&lt;&gt;"",BUNDESLIGA!G28&amp;" - "&amp;BUNDESLIGA!H28,"")</f>
        <v>0 - 0</v>
      </c>
      <c r="H23" s="96" t="str">
        <f t="shared" si="17"/>
        <v>Bayer Leverkusen-1899 Hoffenheim</v>
      </c>
      <c r="I23" s="96" t="str">
        <f t="shared" si="1"/>
        <v>0</v>
      </c>
      <c r="J23" s="97" t="str">
        <f t="shared" si="2"/>
        <v>0</v>
      </c>
      <c r="L23" s="67">
        <f t="shared" si="3"/>
        <v>1</v>
      </c>
      <c r="M23" s="67">
        <f t="shared" si="4"/>
        <v>1</v>
      </c>
      <c r="O23" s="67" t="str">
        <f t="shared" si="5"/>
        <v/>
      </c>
      <c r="P23" s="67"/>
      <c r="Q23" s="68">
        <v>20</v>
      </c>
      <c r="R23" s="67"/>
      <c r="S23" s="67">
        <f>(IF(AB23&lt;&gt;"D",0,COUNTIF(AB$4:AB23,"D"))+IF(AB23&lt;&gt;"E",0,COUNTIF(AB$4:AB23,"E")+17))</f>
        <v>10</v>
      </c>
      <c r="T23" s="109" t="str">
        <f t="shared" si="6"/>
        <v>FC Augsburg</v>
      </c>
      <c r="U23" s="110"/>
      <c r="V23" s="111" t="str">
        <f t="shared" si="7"/>
        <v>Werder Bremen</v>
      </c>
      <c r="W23" s="106"/>
      <c r="X23" s="68" t="str">
        <f t="shared" si="8"/>
        <v>2</v>
      </c>
      <c r="Y23" s="106"/>
      <c r="Z23" s="68" t="str">
        <f t="shared" si="9"/>
        <v>1</v>
      </c>
      <c r="AA23" s="67"/>
      <c r="AB23" s="68" t="str">
        <f>IF(T23='DERNIER RESULTS'!$Q$2,"D","E")</f>
        <v>D</v>
      </c>
      <c r="AC23" s="67"/>
      <c r="AD23" s="67"/>
      <c r="AE23" s="67"/>
      <c r="AF23" s="67"/>
      <c r="AG23" s="67"/>
      <c r="AH23" s="67"/>
      <c r="AI23" s="67"/>
      <c r="AJ23" s="67"/>
      <c r="AK23" s="67"/>
      <c r="AL23" s="67"/>
      <c r="AM23" s="67"/>
      <c r="AN23" s="67"/>
      <c r="AO23" s="67"/>
      <c r="AP23" s="104"/>
    </row>
    <row r="24" spans="3:51" x14ac:dyDescent="0.25">
      <c r="C24" s="94" t="str">
        <f t="shared" si="0"/>
        <v/>
      </c>
      <c r="D24" s="95">
        <v>3</v>
      </c>
      <c r="E24" s="96" t="str">
        <f>BUNDESLIGA!F29&amp;IF(OR(BUNDESLIGA!G29="",BUNDESLIGA!H29=""),"",IF(BUNDESLIGA!G29&gt;BUNDESLIGA!H29,"",IF(BUNDESLIGA!G29&lt;BUNDESLIGA!H29,"","")))</f>
        <v>VfL Wolfsburg</v>
      </c>
      <c r="F24" s="96" t="str">
        <f>BUNDESLIGA!I29&amp;IF(OR(BUNDESLIGA!G29="",BUNDESLIGA!H29=""),"",IF(BUNDESLIGA!G29&lt;BUNDESLIGA!H29,"",IF(BUNDESLIGA!G29&gt;BUNDESLIGA!H29,"","")))</f>
        <v>SC Paderborn 07</v>
      </c>
      <c r="G24" s="96" t="str">
        <f>IF(BUNDESLIGA!G29&lt;&gt;"",BUNDESLIGA!G29&amp;" - "&amp;BUNDESLIGA!H29,"")</f>
        <v>1 - 1</v>
      </c>
      <c r="H24" s="96" t="str">
        <f t="shared" si="17"/>
        <v>VfL Wolfsburg-SC Paderborn 07</v>
      </c>
      <c r="I24" s="96" t="str">
        <f t="shared" si="1"/>
        <v>1</v>
      </c>
      <c r="J24" s="97" t="str">
        <f t="shared" si="2"/>
        <v>1</v>
      </c>
      <c r="L24" s="67">
        <f t="shared" si="3"/>
        <v>1</v>
      </c>
      <c r="M24" s="67">
        <f t="shared" si="4"/>
        <v>1</v>
      </c>
      <c r="O24" s="67" t="str">
        <f t="shared" si="5"/>
        <v/>
      </c>
      <c r="P24" s="67"/>
      <c r="Q24" s="68">
        <v>21</v>
      </c>
      <c r="R24" s="67"/>
      <c r="S24" s="67">
        <f>(IF(AB24&lt;&gt;"D",0,COUNTIF(AB$4:AB24,"D"))+IF(AB24&lt;&gt;"E",0,COUNTIF(AB$4:AB24,"E")+17))</f>
        <v>28</v>
      </c>
      <c r="T24" s="109" t="str">
        <f t="shared" si="6"/>
        <v>Eintracht Frankfurt</v>
      </c>
      <c r="U24" s="110"/>
      <c r="V24" s="111" t="str">
        <f t="shared" si="7"/>
        <v>FC Augsburg</v>
      </c>
      <c r="W24" s="106"/>
      <c r="X24" s="68" t="str">
        <f t="shared" si="8"/>
        <v>5</v>
      </c>
      <c r="Y24" s="106"/>
      <c r="Z24" s="68" t="str">
        <f t="shared" si="9"/>
        <v>0</v>
      </c>
      <c r="AA24" s="67"/>
      <c r="AB24" s="68" t="str">
        <f>IF(T24='DERNIER RESULTS'!$Q$2,"D","E")</f>
        <v>E</v>
      </c>
      <c r="AC24" s="67"/>
      <c r="AD24" s="67"/>
      <c r="AE24" s="67"/>
      <c r="AF24" s="67"/>
      <c r="AG24" s="67"/>
      <c r="AH24" s="67"/>
      <c r="AI24" s="67"/>
      <c r="AJ24" s="67"/>
      <c r="AK24" s="67"/>
      <c r="AL24" s="67"/>
      <c r="AM24" s="67"/>
      <c r="AN24" s="67"/>
      <c r="AO24" s="67"/>
      <c r="AP24" s="104"/>
    </row>
    <row r="25" spans="3:51" x14ac:dyDescent="0.25">
      <c r="C25" s="94" t="str">
        <f t="shared" si="0"/>
        <v/>
      </c>
      <c r="D25" s="95">
        <v>3</v>
      </c>
      <c r="E25" s="96" t="str">
        <f>BUNDESLIGA!F30&amp;IF(OR(BUNDESLIGA!G30="",BUNDESLIGA!H30=""),"",IF(BUNDESLIGA!G30&gt;BUNDESLIGA!H30,"",IF(BUNDESLIGA!G30&lt;BUNDESLIGA!H30,"","")))</f>
        <v>SC Freiburg</v>
      </c>
      <c r="F25" s="96" t="str">
        <f>BUNDESLIGA!I30&amp;IF(OR(BUNDESLIGA!G30="",BUNDESLIGA!H30=""),"",IF(BUNDESLIGA!G30&lt;BUNDESLIGA!H30,"",IF(BUNDESLIGA!G30&gt;BUNDESLIGA!H30,"","")))</f>
        <v>1. FC Köln</v>
      </c>
      <c r="G25" s="96" t="str">
        <f>IF(BUNDESLIGA!G30&lt;&gt;"",BUNDESLIGA!G30&amp;" - "&amp;BUNDESLIGA!H30,"")</f>
        <v>1 - 2</v>
      </c>
      <c r="H25" s="96" t="str">
        <f t="shared" si="17"/>
        <v>SC Freiburg-1. FC Köln</v>
      </c>
      <c r="I25" s="96" t="str">
        <f t="shared" si="1"/>
        <v>1</v>
      </c>
      <c r="J25" s="97" t="str">
        <f t="shared" si="2"/>
        <v>2</v>
      </c>
      <c r="L25" s="67">
        <f t="shared" si="3"/>
        <v>0</v>
      </c>
      <c r="M25" s="67">
        <f t="shared" si="4"/>
        <v>3</v>
      </c>
      <c r="O25" s="67" t="str">
        <f t="shared" si="5"/>
        <v/>
      </c>
      <c r="P25" s="67"/>
      <c r="Q25" s="68">
        <v>22</v>
      </c>
      <c r="R25" s="67"/>
      <c r="S25" s="67">
        <f>(IF(AB25&lt;&gt;"D",0,COUNTIF(AB$4:AB25,"D"))+IF(AB25&lt;&gt;"E",0,COUNTIF(AB$4:AB25,"E")+17))</f>
        <v>11</v>
      </c>
      <c r="T25" s="109" t="str">
        <f t="shared" si="6"/>
        <v>FC Augsburg</v>
      </c>
      <c r="U25" s="110"/>
      <c r="V25" s="111" t="str">
        <f t="shared" si="7"/>
        <v>SC Freiburg</v>
      </c>
      <c r="W25" s="106"/>
      <c r="X25" s="68" t="str">
        <f t="shared" si="8"/>
        <v>1</v>
      </c>
      <c r="Y25" s="106"/>
      <c r="Z25" s="68" t="str">
        <f t="shared" si="9"/>
        <v>1</v>
      </c>
      <c r="AA25" s="67"/>
      <c r="AB25" s="68" t="str">
        <f>IF(T25='DERNIER RESULTS'!$Q$2,"D","E")</f>
        <v>D</v>
      </c>
      <c r="AC25" s="67"/>
      <c r="AD25" s="67"/>
      <c r="AE25" s="67"/>
      <c r="AF25" s="67"/>
      <c r="AG25" s="67"/>
      <c r="AH25" s="67"/>
      <c r="AI25" s="67"/>
      <c r="AJ25" s="67"/>
      <c r="AK25" s="67"/>
      <c r="AL25" s="67"/>
      <c r="AM25" s="67"/>
      <c r="AN25" s="67"/>
      <c r="AO25" s="67"/>
      <c r="AP25" s="104"/>
    </row>
    <row r="26" spans="3:51" x14ac:dyDescent="0.25">
      <c r="C26" s="94" t="str">
        <f t="shared" si="0"/>
        <v/>
      </c>
      <c r="D26" s="95">
        <v>3</v>
      </c>
      <c r="E26" s="96" t="str">
        <f>BUNDESLIGA!F31&amp;IF(OR(BUNDESLIGA!G31="",BUNDESLIGA!H31=""),"",IF(BUNDESLIGA!G31&gt;BUNDESLIGA!H31,"",IF(BUNDESLIGA!G31&lt;BUNDESLIGA!H31,"","")))</f>
        <v>FC Schalke 04</v>
      </c>
      <c r="F26" s="96" t="str">
        <f>BUNDESLIGA!I31&amp;IF(OR(BUNDESLIGA!G31="",BUNDESLIGA!H31=""),"",IF(BUNDESLIGA!G31&lt;BUNDESLIGA!H31,"",IF(BUNDESLIGA!G31&gt;BUNDESLIGA!H31,"","")))</f>
        <v>Hertha BSC</v>
      </c>
      <c r="G26" s="96" t="str">
        <f>IF(BUNDESLIGA!G31&lt;&gt;"",BUNDESLIGA!G31&amp;" - "&amp;BUNDESLIGA!H31,"")</f>
        <v>3 - 0</v>
      </c>
      <c r="H26" s="96" t="str">
        <f t="shared" si="17"/>
        <v>FC Schalke 04-Hertha BSC</v>
      </c>
      <c r="I26" s="96" t="str">
        <f t="shared" si="1"/>
        <v>3</v>
      </c>
      <c r="J26" s="97" t="str">
        <f t="shared" si="2"/>
        <v>0</v>
      </c>
      <c r="L26" s="67">
        <f t="shared" si="3"/>
        <v>3</v>
      </c>
      <c r="M26" s="67">
        <f t="shared" si="4"/>
        <v>0</v>
      </c>
      <c r="O26" s="67" t="str">
        <f t="shared" si="5"/>
        <v/>
      </c>
      <c r="P26" s="67"/>
      <c r="Q26" s="68">
        <v>23</v>
      </c>
      <c r="R26" s="67"/>
      <c r="S26" s="67">
        <f>(IF(AB26&lt;&gt;"D",0,COUNTIF(AB$4:AB26,"D"))+IF(AB26&lt;&gt;"E",0,COUNTIF(AB$4:AB26,"E")+17))</f>
        <v>29</v>
      </c>
      <c r="T26" s="109" t="str">
        <f t="shared" si="6"/>
        <v>Bayer Leverkusen</v>
      </c>
      <c r="U26" s="110"/>
      <c r="V26" s="111" t="str">
        <f t="shared" si="7"/>
        <v>FC Augsburg</v>
      </c>
      <c r="W26" s="106"/>
      <c r="X26" s="68" t="str">
        <f t="shared" si="8"/>
        <v>2</v>
      </c>
      <c r="Y26" s="106"/>
      <c r="Z26" s="68" t="str">
        <f t="shared" si="9"/>
        <v>0</v>
      </c>
      <c r="AA26" s="67"/>
      <c r="AB26" s="68" t="str">
        <f>IF(T26='DERNIER RESULTS'!$Q$2,"D","E")</f>
        <v>E</v>
      </c>
      <c r="AC26" s="67"/>
      <c r="AD26" s="67"/>
      <c r="AE26" s="67"/>
      <c r="AF26" s="67"/>
      <c r="AG26" s="67"/>
      <c r="AH26" s="67"/>
      <c r="AI26" s="67"/>
      <c r="AJ26" s="67"/>
      <c r="AK26" s="67"/>
      <c r="AL26" s="67"/>
      <c r="AM26" s="67"/>
      <c r="AN26" s="67"/>
      <c r="AO26" s="67"/>
      <c r="AP26" s="104"/>
    </row>
    <row r="27" spans="3:51" x14ac:dyDescent="0.25">
      <c r="C27" s="94" t="str">
        <f t="shared" si="0"/>
        <v/>
      </c>
      <c r="D27" s="95">
        <v>3</v>
      </c>
      <c r="E27" s="96" t="str">
        <f>BUNDESLIGA!F32&amp;IF(OR(BUNDESLIGA!G32="",BUNDESLIGA!H32=""),"",IF(BUNDESLIGA!G32&gt;BUNDESLIGA!H32,"",IF(BUNDESLIGA!G32&lt;BUNDESLIGA!H32,"","")))</f>
        <v>1. FC Union Berlin</v>
      </c>
      <c r="F27" s="96" t="str">
        <f>BUNDESLIGA!I32&amp;IF(OR(BUNDESLIGA!G32="",BUNDESLIGA!H32=""),"",IF(BUNDESLIGA!G32&lt;BUNDESLIGA!H32,"",IF(BUNDESLIGA!G32&gt;BUNDESLIGA!H32,"","")))</f>
        <v>Borussia Dortmund</v>
      </c>
      <c r="G27" s="96" t="str">
        <f>IF(BUNDESLIGA!G32&lt;&gt;"",BUNDESLIGA!G32&amp;" - "&amp;BUNDESLIGA!H32,"")</f>
        <v>3 - 1</v>
      </c>
      <c r="H27" s="96" t="str">
        <f t="shared" si="17"/>
        <v>1. FC Union Berlin-Borussia Dortmund</v>
      </c>
      <c r="I27" s="96" t="str">
        <f t="shared" si="1"/>
        <v>3</v>
      </c>
      <c r="J27" s="97" t="str">
        <f t="shared" si="2"/>
        <v>1</v>
      </c>
      <c r="L27" s="67">
        <f t="shared" si="3"/>
        <v>3</v>
      </c>
      <c r="M27" s="67">
        <f t="shared" si="4"/>
        <v>0</v>
      </c>
      <c r="O27" s="67" t="str">
        <f t="shared" si="5"/>
        <v/>
      </c>
      <c r="P27" s="67"/>
      <c r="Q27" s="68">
        <v>24</v>
      </c>
      <c r="R27" s="67"/>
      <c r="S27" s="67">
        <f>(IF(AB27&lt;&gt;"D",0,COUNTIF(AB$4:AB27,"D"))+IF(AB27&lt;&gt;"E",0,COUNTIF(AB$4:AB27,"E")+17))</f>
        <v>12</v>
      </c>
      <c r="T27" s="109" t="str">
        <f t="shared" si="6"/>
        <v>FC Augsburg</v>
      </c>
      <c r="U27" s="110"/>
      <c r="V27" s="111" t="str">
        <f t="shared" si="7"/>
        <v>Bor. Mönchengladbach</v>
      </c>
      <c r="W27" s="106"/>
      <c r="X27" s="68" t="str">
        <f t="shared" si="8"/>
        <v>2</v>
      </c>
      <c r="Y27" s="106"/>
      <c r="Z27" s="68" t="str">
        <f t="shared" si="9"/>
        <v>3</v>
      </c>
      <c r="AA27" s="67"/>
      <c r="AB27" s="68" t="str">
        <f>IF(T27='DERNIER RESULTS'!$Q$2,"D","E")</f>
        <v>D</v>
      </c>
      <c r="AC27" s="67"/>
      <c r="AD27" s="67"/>
      <c r="AE27" s="67"/>
      <c r="AF27" s="67"/>
      <c r="AG27" s="67"/>
      <c r="AH27" s="67"/>
      <c r="AI27" s="67"/>
      <c r="AJ27" s="67"/>
      <c r="AK27" s="67"/>
      <c r="AL27" s="67"/>
      <c r="AM27" s="67"/>
      <c r="AN27" s="67"/>
      <c r="AO27" s="67"/>
      <c r="AP27" s="104"/>
    </row>
    <row r="28" spans="3:51" x14ac:dyDescent="0.25">
      <c r="C28" s="94">
        <f t="shared" si="0"/>
        <v>3</v>
      </c>
      <c r="D28" s="95">
        <v>3</v>
      </c>
      <c r="E28" s="96" t="str">
        <f>BUNDESLIGA!F33&amp;IF(OR(BUNDESLIGA!G33="",BUNDESLIGA!H33=""),"",IF(BUNDESLIGA!G33&gt;BUNDESLIGA!H33,"",IF(BUNDESLIGA!G33&lt;BUNDESLIGA!H33,"","")))</f>
        <v>Werder Bremen</v>
      </c>
      <c r="F28" s="96" t="str">
        <f>BUNDESLIGA!I33&amp;IF(OR(BUNDESLIGA!G33="",BUNDESLIGA!H33=""),"",IF(BUNDESLIGA!G33&lt;BUNDESLIGA!H33,"",IF(BUNDESLIGA!G33&gt;BUNDESLIGA!H33,"","")))</f>
        <v>FC Augsburg</v>
      </c>
      <c r="G28" s="96" t="str">
        <f>IF(BUNDESLIGA!G33&lt;&gt;"",BUNDESLIGA!G33&amp;" - "&amp;BUNDESLIGA!H33,"")</f>
        <v>3 - 2</v>
      </c>
      <c r="H28" s="96" t="str">
        <f t="shared" si="17"/>
        <v>Werder Bremen-FC Augsburg</v>
      </c>
      <c r="I28" s="96" t="str">
        <f t="shared" si="1"/>
        <v>3</v>
      </c>
      <c r="J28" s="97" t="str">
        <f t="shared" si="2"/>
        <v>2</v>
      </c>
      <c r="L28" s="67">
        <f t="shared" si="3"/>
        <v>3</v>
      </c>
      <c r="M28" s="67">
        <f t="shared" si="4"/>
        <v>0</v>
      </c>
      <c r="O28" s="67">
        <f t="shared" si="5"/>
        <v>28</v>
      </c>
      <c r="P28" s="67"/>
      <c r="Q28" s="68">
        <v>25</v>
      </c>
      <c r="R28" s="67"/>
      <c r="S28" s="67">
        <f>(IF(AB28&lt;&gt;"D",0,COUNTIF(AB$4:AB28,"D"))+IF(AB28&lt;&gt;"E",0,COUNTIF(AB$4:AB28,"E")+17))</f>
        <v>30</v>
      </c>
      <c r="T28" s="109" t="str">
        <f t="shared" si="6"/>
        <v>Bayern München</v>
      </c>
      <c r="U28" s="110"/>
      <c r="V28" s="111" t="str">
        <f t="shared" si="7"/>
        <v>FC Augsburg</v>
      </c>
      <c r="W28" s="106"/>
      <c r="X28" s="68" t="str">
        <f t="shared" si="8"/>
        <v/>
      </c>
      <c r="Y28" s="106"/>
      <c r="Z28" s="68" t="str">
        <f t="shared" si="9"/>
        <v/>
      </c>
      <c r="AA28" s="67"/>
      <c r="AB28" s="68" t="str">
        <f>IF(T28='DERNIER RESULTS'!$Q$2,"D","E")</f>
        <v>E</v>
      </c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105"/>
    </row>
    <row r="29" spans="3:51" x14ac:dyDescent="0.25">
      <c r="C29" s="94" t="str">
        <f t="shared" si="0"/>
        <v/>
      </c>
      <c r="D29" s="95">
        <v>3</v>
      </c>
      <c r="E29" s="96" t="str">
        <f>BUNDESLIGA!F34&amp;IF(OR(BUNDESLIGA!G34="",BUNDESLIGA!H34=""),"",IF(BUNDESLIGA!G34&gt;BUNDESLIGA!H34,"",IF(BUNDESLIGA!G34&lt;BUNDESLIGA!H34,"","")))</f>
        <v>Eintracht Frankfurt</v>
      </c>
      <c r="F29" s="96" t="str">
        <f>BUNDESLIGA!I34&amp;IF(OR(BUNDESLIGA!G34="",BUNDESLIGA!H34=""),"",IF(BUNDESLIGA!G34&lt;BUNDESLIGA!H34,"",IF(BUNDESLIGA!G34&gt;BUNDESLIGA!H34,"","")))</f>
        <v>Fortuna Düsseldorf</v>
      </c>
      <c r="G29" s="96" t="str">
        <f>IF(BUNDESLIGA!G34&lt;&gt;"",BUNDESLIGA!G34&amp;" - "&amp;BUNDESLIGA!H34,"")</f>
        <v>2 - 1</v>
      </c>
      <c r="H29" s="96" t="str">
        <f t="shared" si="17"/>
        <v>Eintracht Frankfurt-Fortuna Düsseldorf</v>
      </c>
      <c r="I29" s="96" t="str">
        <f t="shared" si="1"/>
        <v>2</v>
      </c>
      <c r="J29" s="97" t="str">
        <f t="shared" si="2"/>
        <v>1</v>
      </c>
      <c r="L29" s="67">
        <f t="shared" si="3"/>
        <v>3</v>
      </c>
      <c r="M29" s="67">
        <f t="shared" si="4"/>
        <v>0</v>
      </c>
      <c r="O29" s="67" t="str">
        <f t="shared" si="5"/>
        <v/>
      </c>
      <c r="P29" s="67"/>
      <c r="Q29" s="68">
        <v>26</v>
      </c>
      <c r="R29" s="67"/>
      <c r="S29" s="67">
        <f>(IF(AB29&lt;&gt;"D",0,COUNTIF(AB$4:AB29,"D"))+IF(AB29&lt;&gt;"E",0,COUNTIF(AB$4:AB29,"E")+17))</f>
        <v>13</v>
      </c>
      <c r="T29" s="109" t="str">
        <f t="shared" si="6"/>
        <v>FC Augsburg</v>
      </c>
      <c r="U29" s="110"/>
      <c r="V29" s="111" t="str">
        <f t="shared" si="7"/>
        <v>VfL Wolfsburg</v>
      </c>
      <c r="W29" s="106"/>
      <c r="X29" s="68" t="str">
        <f t="shared" si="8"/>
        <v/>
      </c>
      <c r="Y29" s="106"/>
      <c r="Z29" s="68" t="str">
        <f t="shared" si="9"/>
        <v/>
      </c>
      <c r="AA29" s="67"/>
      <c r="AB29" s="68" t="str">
        <f>IF(T29='DERNIER RESULTS'!$Q$2,"D","E")</f>
        <v>D</v>
      </c>
      <c r="AC29" s="67"/>
      <c r="AD29" s="67"/>
      <c r="AE29" s="67"/>
      <c r="AF29" s="67"/>
      <c r="AG29" s="67"/>
      <c r="AH29" s="67"/>
      <c r="AI29" s="67"/>
      <c r="AJ29" s="67"/>
      <c r="AK29" s="67"/>
      <c r="AL29" s="67"/>
      <c r="AM29" s="67"/>
      <c r="AN29" s="67"/>
      <c r="AO29" s="67"/>
      <c r="AP29" s="105"/>
    </row>
    <row r="30" spans="3:51" x14ac:dyDescent="0.25">
      <c r="C30" s="94" t="str">
        <f t="shared" si="0"/>
        <v/>
      </c>
      <c r="D30" s="95">
        <v>4</v>
      </c>
      <c r="E30" s="96" t="str">
        <f>BUNDESLIGA!F37&amp;IF(OR(BUNDESLIGA!G37="",BUNDESLIGA!H37=""),"",IF(BUNDESLIGA!G37&gt;BUNDESLIGA!H37,"",IF(BUNDESLIGA!G37&lt;BUNDESLIGA!H37,"","")))</f>
        <v>Fortuna Düsseldorf</v>
      </c>
      <c r="F30" s="96" t="str">
        <f>BUNDESLIGA!I37&amp;IF(OR(BUNDESLIGA!G37="",BUNDESLIGA!H37=""),"",IF(BUNDESLIGA!G37&lt;BUNDESLIGA!H37,"",IF(BUNDESLIGA!G37&gt;BUNDESLIGA!H37,"","")))</f>
        <v>VfL Wolfsburg</v>
      </c>
      <c r="G30" s="96" t="str">
        <f>IF(BUNDESLIGA!G37&lt;&gt;"",BUNDESLIGA!G37&amp;" - "&amp;BUNDESLIGA!H37,"")</f>
        <v>1 - 1</v>
      </c>
      <c r="H30" s="96" t="str">
        <f t="shared" si="17"/>
        <v>Fortuna Düsseldorf-VfL Wolfsburg</v>
      </c>
      <c r="I30" s="96" t="str">
        <f t="shared" si="1"/>
        <v>1</v>
      </c>
      <c r="J30" s="97" t="str">
        <f t="shared" si="2"/>
        <v>1</v>
      </c>
      <c r="L30" s="67">
        <f t="shared" si="3"/>
        <v>1</v>
      </c>
      <c r="M30" s="67">
        <f t="shared" si="4"/>
        <v>1</v>
      </c>
      <c r="O30" s="67" t="str">
        <f t="shared" si="5"/>
        <v/>
      </c>
      <c r="P30" s="67"/>
      <c r="Q30" s="68">
        <v>27</v>
      </c>
      <c r="R30" s="67"/>
      <c r="S30" s="67">
        <f>(IF(AB30&lt;&gt;"D",0,COUNTIF(AB$4:AB30,"D"))+IF(AB30&lt;&gt;"E",0,COUNTIF(AB$4:AB30,"E")+17))</f>
        <v>31</v>
      </c>
      <c r="T30" s="109" t="str">
        <f t="shared" si="6"/>
        <v>FC Schalke 04</v>
      </c>
      <c r="U30" s="110"/>
      <c r="V30" s="111" t="str">
        <f t="shared" si="7"/>
        <v>FC Augsburg</v>
      </c>
      <c r="W30" s="106"/>
      <c r="X30" s="68" t="str">
        <f t="shared" si="8"/>
        <v/>
      </c>
      <c r="Y30" s="106"/>
      <c r="Z30" s="68" t="str">
        <f t="shared" si="9"/>
        <v/>
      </c>
      <c r="AA30" s="67"/>
      <c r="AB30" s="68" t="str">
        <f>IF(T30='DERNIER RESULTS'!$Q$2,"D","E")</f>
        <v>E</v>
      </c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105"/>
    </row>
    <row r="31" spans="3:51" x14ac:dyDescent="0.25">
      <c r="C31" s="94" t="str">
        <f t="shared" si="0"/>
        <v/>
      </c>
      <c r="D31" s="95">
        <v>4</v>
      </c>
      <c r="E31" s="96" t="str">
        <f>BUNDESLIGA!F38&amp;IF(OR(BUNDESLIGA!G38="",BUNDESLIGA!H38=""),"",IF(BUNDESLIGA!G38&gt;BUNDESLIGA!H38,"",IF(BUNDESLIGA!G38&lt;BUNDESLIGA!H38,"","")))</f>
        <v>Borussia Dortmund</v>
      </c>
      <c r="F31" s="96" t="str">
        <f>BUNDESLIGA!I38&amp;IF(OR(BUNDESLIGA!G38="",BUNDESLIGA!H38=""),"",IF(BUNDESLIGA!G38&lt;BUNDESLIGA!H38,"",IF(BUNDESLIGA!G38&gt;BUNDESLIGA!H38,"","")))</f>
        <v>Bayer Leverkusen</v>
      </c>
      <c r="G31" s="96" t="str">
        <f>IF(BUNDESLIGA!G38&lt;&gt;"",BUNDESLIGA!G38&amp;" - "&amp;BUNDESLIGA!H38,"")</f>
        <v>4 - 0</v>
      </c>
      <c r="H31" s="96" t="str">
        <f t="shared" si="17"/>
        <v>Borussia Dortmund-Bayer Leverkusen</v>
      </c>
      <c r="I31" s="96" t="str">
        <f t="shared" si="1"/>
        <v>4</v>
      </c>
      <c r="J31" s="97" t="str">
        <f t="shared" si="2"/>
        <v>0</v>
      </c>
      <c r="L31" s="67">
        <f t="shared" si="3"/>
        <v>3</v>
      </c>
      <c r="M31" s="67">
        <f t="shared" si="4"/>
        <v>0</v>
      </c>
      <c r="O31" s="67" t="str">
        <f t="shared" si="5"/>
        <v/>
      </c>
      <c r="P31" s="67"/>
      <c r="Q31" s="68">
        <v>28</v>
      </c>
      <c r="R31" s="67"/>
      <c r="S31" s="67">
        <f>(IF(AB31&lt;&gt;"D",0,COUNTIF(AB$4:AB31,"D"))+IF(AB31&lt;&gt;"E",0,COUNTIF(AB$4:AB31,"E")+17))</f>
        <v>14</v>
      </c>
      <c r="T31" s="109" t="str">
        <f t="shared" si="6"/>
        <v>FC Augsburg</v>
      </c>
      <c r="U31" s="110"/>
      <c r="V31" s="111" t="str">
        <f t="shared" si="7"/>
        <v>SC Paderborn 07</v>
      </c>
      <c r="W31" s="106"/>
      <c r="X31" s="68" t="str">
        <f t="shared" si="8"/>
        <v/>
      </c>
      <c r="Y31" s="106"/>
      <c r="Z31" s="68" t="str">
        <f t="shared" si="9"/>
        <v/>
      </c>
      <c r="AA31" s="67"/>
      <c r="AB31" s="68" t="str">
        <f>IF(T31='DERNIER RESULTS'!$Q$2,"D","E")</f>
        <v>D</v>
      </c>
      <c r="AC31" s="67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105"/>
    </row>
    <row r="32" spans="3:51" x14ac:dyDescent="0.25">
      <c r="C32" s="94" t="str">
        <f t="shared" si="0"/>
        <v/>
      </c>
      <c r="D32" s="95">
        <v>4</v>
      </c>
      <c r="E32" s="96" t="str">
        <f>BUNDESLIGA!F39&amp;IF(OR(BUNDESLIGA!G39="",BUNDESLIGA!H39=""),"",IF(BUNDESLIGA!G39&gt;BUNDESLIGA!H39,"",IF(BUNDESLIGA!G39&lt;BUNDESLIGA!H39,"","")))</f>
        <v>1. FSV Mainz 05</v>
      </c>
      <c r="F32" s="96" t="str">
        <f>BUNDESLIGA!I39&amp;IF(OR(BUNDESLIGA!G39="",BUNDESLIGA!H39=""),"",IF(BUNDESLIGA!G39&lt;BUNDESLIGA!H39,"",IF(BUNDESLIGA!G39&gt;BUNDESLIGA!H39,"","")))</f>
        <v>Hertha BSC</v>
      </c>
      <c r="G32" s="96" t="str">
        <f>IF(BUNDESLIGA!G39&lt;&gt;"",BUNDESLIGA!G39&amp;" - "&amp;BUNDESLIGA!H39,"")</f>
        <v>2 - 1</v>
      </c>
      <c r="H32" s="96" t="str">
        <f t="shared" si="17"/>
        <v>1. FSV Mainz 05-Hertha BSC</v>
      </c>
      <c r="I32" s="96" t="str">
        <f t="shared" si="1"/>
        <v>2</v>
      </c>
      <c r="J32" s="97" t="str">
        <f t="shared" si="2"/>
        <v>1</v>
      </c>
      <c r="L32" s="67">
        <f t="shared" si="3"/>
        <v>3</v>
      </c>
      <c r="M32" s="67">
        <f t="shared" si="4"/>
        <v>0</v>
      </c>
      <c r="O32" s="67" t="str">
        <f t="shared" si="5"/>
        <v/>
      </c>
      <c r="P32" s="67"/>
      <c r="Q32" s="68">
        <v>29</v>
      </c>
      <c r="R32" s="67"/>
      <c r="S32" s="67">
        <f>(IF(AB32&lt;&gt;"D",0,COUNTIF(AB$4:AB32,"D"))+IF(AB32&lt;&gt;"E",0,COUNTIF(AB$4:AB32,"E")+17))</f>
        <v>32</v>
      </c>
      <c r="T32" s="109" t="str">
        <f t="shared" si="6"/>
        <v>Hertha BSC</v>
      </c>
      <c r="U32" s="110"/>
      <c r="V32" s="111" t="str">
        <f t="shared" si="7"/>
        <v>FC Augsburg</v>
      </c>
      <c r="W32" s="106"/>
      <c r="X32" s="68" t="str">
        <f t="shared" si="8"/>
        <v/>
      </c>
      <c r="Y32" s="106"/>
      <c r="Z32" s="68" t="str">
        <f t="shared" si="9"/>
        <v/>
      </c>
      <c r="AA32" s="67"/>
      <c r="AB32" s="68" t="str">
        <f>IF(T32='DERNIER RESULTS'!$Q$2,"D","E")</f>
        <v>E</v>
      </c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105"/>
    </row>
    <row r="33" spans="3:42" x14ac:dyDescent="0.25">
      <c r="C33" s="94">
        <f t="shared" si="0"/>
        <v>4</v>
      </c>
      <c r="D33" s="95">
        <v>4</v>
      </c>
      <c r="E33" s="96" t="str">
        <f>BUNDESLIGA!F40&amp;IF(OR(BUNDESLIGA!G40="",BUNDESLIGA!H40=""),"",IF(BUNDESLIGA!G40&gt;BUNDESLIGA!H40,"",IF(BUNDESLIGA!G40&lt;BUNDESLIGA!H40,"","")))</f>
        <v>FC Augsburg</v>
      </c>
      <c r="F33" s="96" t="str">
        <f>BUNDESLIGA!I40&amp;IF(OR(BUNDESLIGA!G40="",BUNDESLIGA!H40=""),"",IF(BUNDESLIGA!G40&lt;BUNDESLIGA!H40,"",IF(BUNDESLIGA!G40&gt;BUNDESLIGA!H40,"","")))</f>
        <v>Eintracht Frankfurt</v>
      </c>
      <c r="G33" s="96" t="str">
        <f>IF(BUNDESLIGA!G40&lt;&gt;"",BUNDESLIGA!G40&amp;" - "&amp;BUNDESLIGA!H40,"")</f>
        <v>2 - 1</v>
      </c>
      <c r="H33" s="96" t="str">
        <f t="shared" si="17"/>
        <v>FC Augsburg-Eintracht Frankfurt</v>
      </c>
      <c r="I33" s="96" t="str">
        <f t="shared" si="1"/>
        <v>2</v>
      </c>
      <c r="J33" s="97" t="str">
        <f t="shared" si="2"/>
        <v>1</v>
      </c>
      <c r="L33" s="67">
        <f t="shared" si="3"/>
        <v>3</v>
      </c>
      <c r="M33" s="67">
        <f t="shared" si="4"/>
        <v>0</v>
      </c>
      <c r="O33" s="67">
        <f t="shared" si="5"/>
        <v>33</v>
      </c>
      <c r="P33" s="67"/>
      <c r="Q33" s="68">
        <v>30</v>
      </c>
      <c r="R33" s="67"/>
      <c r="S33" s="67">
        <f>(IF(AB33&lt;&gt;"D",0,COUNTIF(AB$4:AB33,"D"))+IF(AB33&lt;&gt;"E",0,COUNTIF(AB$4:AB33,"E")+17))</f>
        <v>15</v>
      </c>
      <c r="T33" s="109" t="str">
        <f t="shared" si="6"/>
        <v>FC Augsburg</v>
      </c>
      <c r="U33" s="110"/>
      <c r="V33" s="111" t="str">
        <f t="shared" si="7"/>
        <v>1. FC Köln</v>
      </c>
      <c r="W33" s="106"/>
      <c r="X33" s="68" t="str">
        <f t="shared" si="8"/>
        <v/>
      </c>
      <c r="Y33" s="106"/>
      <c r="Z33" s="68" t="str">
        <f t="shared" si="9"/>
        <v/>
      </c>
      <c r="AA33" s="67"/>
      <c r="AB33" s="68" t="str">
        <f>IF(T33='DERNIER RESULTS'!$Q$2,"D","E")</f>
        <v>D</v>
      </c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105"/>
    </row>
    <row r="34" spans="3:42" x14ac:dyDescent="0.25">
      <c r="C34" s="94" t="str">
        <f t="shared" si="0"/>
        <v/>
      </c>
      <c r="D34" s="95">
        <v>4</v>
      </c>
      <c r="E34" s="96" t="str">
        <f>BUNDESLIGA!F41&amp;IF(OR(BUNDESLIGA!G41="",BUNDESLIGA!H41=""),"",IF(BUNDESLIGA!G41&gt;BUNDESLIGA!H41,"",IF(BUNDESLIGA!G41&lt;BUNDESLIGA!H41,"","")))</f>
        <v>1. FC Köln</v>
      </c>
      <c r="F34" s="96" t="str">
        <f>BUNDESLIGA!I41&amp;IF(OR(BUNDESLIGA!G41="",BUNDESLIGA!H41=""),"",IF(BUNDESLIGA!G41&lt;BUNDESLIGA!H41,"",IF(BUNDESLIGA!G41&gt;BUNDESLIGA!H41,"","")))</f>
        <v>Bor. Mönchengladbach</v>
      </c>
      <c r="G34" s="96" t="str">
        <f>IF(BUNDESLIGA!G41&lt;&gt;"",BUNDESLIGA!G41&amp;" - "&amp;BUNDESLIGA!H41,"")</f>
        <v>0 - 1</v>
      </c>
      <c r="H34" s="96" t="str">
        <f t="shared" si="17"/>
        <v>1. FC Köln-Bor. Mönchengladbach</v>
      </c>
      <c r="I34" s="96" t="str">
        <f t="shared" si="1"/>
        <v>0</v>
      </c>
      <c r="J34" s="97" t="str">
        <f t="shared" si="2"/>
        <v>1</v>
      </c>
      <c r="L34" s="67">
        <f t="shared" si="3"/>
        <v>0</v>
      </c>
      <c r="M34" s="67">
        <f t="shared" si="4"/>
        <v>3</v>
      </c>
      <c r="O34" s="67" t="str">
        <f t="shared" si="5"/>
        <v/>
      </c>
      <c r="P34" s="67"/>
      <c r="Q34" s="68">
        <v>31</v>
      </c>
      <c r="R34" s="67"/>
      <c r="S34" s="67">
        <f>(IF(AB34&lt;&gt;"D",0,COUNTIF(AB$4:AB34,"D"))+IF(AB34&lt;&gt;"E",0,COUNTIF(AB$4:AB34,"E")+17))</f>
        <v>33</v>
      </c>
      <c r="T34" s="109" t="str">
        <f t="shared" si="6"/>
        <v>1. FSV Mainz 05</v>
      </c>
      <c r="U34" s="110"/>
      <c r="V34" s="111" t="str">
        <f t="shared" si="7"/>
        <v>FC Augsburg</v>
      </c>
      <c r="W34" s="106"/>
      <c r="X34" s="68" t="str">
        <f t="shared" si="8"/>
        <v/>
      </c>
      <c r="Y34" s="106"/>
      <c r="Z34" s="68" t="str">
        <f t="shared" si="9"/>
        <v/>
      </c>
      <c r="AA34" s="67"/>
      <c r="AB34" s="68" t="str">
        <f>IF(T34='DERNIER RESULTS'!$Q$2,"D","E")</f>
        <v>E</v>
      </c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67"/>
      <c r="AP34" s="105"/>
    </row>
    <row r="35" spans="3:42" x14ac:dyDescent="0.25">
      <c r="C35" s="94" t="str">
        <f t="shared" ref="C35:C66" si="19">IF(E35=$Q$2,D35,IF(F35=$Q$2,D35,""))</f>
        <v/>
      </c>
      <c r="D35" s="95">
        <v>4</v>
      </c>
      <c r="E35" s="96" t="str">
        <f>BUNDESLIGA!F42&amp;IF(OR(BUNDESLIGA!G42="",BUNDESLIGA!H42=""),"",IF(BUNDESLIGA!G42&gt;BUNDESLIGA!H42,"",IF(BUNDESLIGA!G42&lt;BUNDESLIGA!H42,"","")))</f>
        <v>1. FC Union Berlin</v>
      </c>
      <c r="F35" s="96" t="str">
        <f>BUNDESLIGA!I42&amp;IF(OR(BUNDESLIGA!G42="",BUNDESLIGA!H42=""),"",IF(BUNDESLIGA!G42&lt;BUNDESLIGA!H42,"",IF(BUNDESLIGA!G42&gt;BUNDESLIGA!H42,"","")))</f>
        <v>Werder Bremen</v>
      </c>
      <c r="G35" s="96" t="str">
        <f>IF(BUNDESLIGA!G42&lt;&gt;"",BUNDESLIGA!G42&amp;" - "&amp;BUNDESLIGA!H42,"")</f>
        <v>1 - 2</v>
      </c>
      <c r="H35" s="96" t="str">
        <f t="shared" si="17"/>
        <v>1. FC Union Berlin-Werder Bremen</v>
      </c>
      <c r="I35" s="96" t="str">
        <f t="shared" si="1"/>
        <v>1</v>
      </c>
      <c r="J35" s="97" t="str">
        <f t="shared" si="2"/>
        <v>2</v>
      </c>
      <c r="L35" s="67">
        <f t="shared" ref="L35:L66" si="20">IF(I35="","",IF(I35&gt;J35,3,IF(I35=J35,1,0)))</f>
        <v>0</v>
      </c>
      <c r="M35" s="67">
        <f t="shared" ref="M35:M66" si="21">IF(J35="","",IF(J35&gt;I35,3,IF(J35=I35,1,0)))</f>
        <v>3</v>
      </c>
      <c r="O35" s="67" t="str">
        <f t="shared" si="5"/>
        <v/>
      </c>
      <c r="P35" s="67"/>
      <c r="Q35" s="68">
        <v>32</v>
      </c>
      <c r="R35" s="67"/>
      <c r="S35" s="67">
        <f>(IF(AB35&lt;&gt;"D",0,COUNTIF(AB$4:AB35,"D"))+IF(AB35&lt;&gt;"E",0,COUNTIF(AB$4:AB35,"E")+17))</f>
        <v>16</v>
      </c>
      <c r="T35" s="109" t="str">
        <f t="shared" si="6"/>
        <v>FC Augsburg</v>
      </c>
      <c r="U35" s="110"/>
      <c r="V35" s="111" t="str">
        <f t="shared" si="7"/>
        <v>1899 Hoffenheim</v>
      </c>
      <c r="W35" s="106"/>
      <c r="X35" s="68" t="str">
        <f t="shared" si="8"/>
        <v/>
      </c>
      <c r="Y35" s="106"/>
      <c r="Z35" s="68" t="str">
        <f t="shared" si="9"/>
        <v/>
      </c>
      <c r="AA35" s="67"/>
      <c r="AB35" s="68" t="str">
        <f>IF(T35='DERNIER RESULTS'!$Q$2,"D","E")</f>
        <v>D</v>
      </c>
      <c r="AC35" s="67"/>
      <c r="AD35" s="67"/>
      <c r="AE35" s="67"/>
      <c r="AF35" s="67"/>
      <c r="AG35" s="67"/>
      <c r="AH35" s="67"/>
      <c r="AI35" s="67"/>
      <c r="AJ35" s="67"/>
      <c r="AK35" s="67"/>
      <c r="AL35" s="67"/>
      <c r="AM35" s="67"/>
      <c r="AN35" s="67"/>
      <c r="AO35" s="67"/>
      <c r="AP35" s="105"/>
    </row>
    <row r="36" spans="3:42" x14ac:dyDescent="0.25">
      <c r="C36" s="94" t="str">
        <f t="shared" si="19"/>
        <v/>
      </c>
      <c r="D36" s="95">
        <v>4</v>
      </c>
      <c r="E36" s="96" t="str">
        <f>BUNDESLIGA!F43&amp;IF(OR(BUNDESLIGA!G43="",BUNDESLIGA!H43=""),"",IF(BUNDESLIGA!G43&gt;BUNDESLIGA!H43,"",IF(BUNDESLIGA!G43&lt;BUNDESLIGA!H43,"","")))</f>
        <v>RB Leipzig</v>
      </c>
      <c r="F36" s="96" t="str">
        <f>BUNDESLIGA!I43&amp;IF(OR(BUNDESLIGA!G43="",BUNDESLIGA!H43=""),"",IF(BUNDESLIGA!G43&lt;BUNDESLIGA!H43,"",IF(BUNDESLIGA!G43&gt;BUNDESLIGA!H43,"","")))</f>
        <v>Bayern München</v>
      </c>
      <c r="G36" s="96" t="str">
        <f>IF(BUNDESLIGA!G43&lt;&gt;"",BUNDESLIGA!G43&amp;" - "&amp;BUNDESLIGA!H43,"")</f>
        <v>1 - 1</v>
      </c>
      <c r="H36" s="96" t="str">
        <f t="shared" si="17"/>
        <v>RB Leipzig-Bayern München</v>
      </c>
      <c r="I36" s="96" t="str">
        <f t="shared" si="1"/>
        <v>1</v>
      </c>
      <c r="J36" s="97" t="str">
        <f t="shared" si="2"/>
        <v>1</v>
      </c>
      <c r="L36" s="67">
        <f t="shared" si="20"/>
        <v>1</v>
      </c>
      <c r="M36" s="67">
        <f t="shared" si="21"/>
        <v>1</v>
      </c>
      <c r="O36" s="67" t="str">
        <f t="shared" si="5"/>
        <v/>
      </c>
      <c r="P36" s="67"/>
      <c r="Q36" s="68">
        <v>33</v>
      </c>
      <c r="R36" s="67"/>
      <c r="S36" s="67">
        <f>(IF(AB36&lt;&gt;"D",0,COUNTIF(AB$4:AB36,"D"))+IF(AB36&lt;&gt;"E",0,COUNTIF(AB$4:AB36,"E")+17))</f>
        <v>34</v>
      </c>
      <c r="T36" s="109" t="str">
        <f t="shared" si="6"/>
        <v>Fortuna Düsseldorf</v>
      </c>
      <c r="U36" s="110"/>
      <c r="V36" s="111" t="str">
        <f t="shared" si="7"/>
        <v>FC Augsburg</v>
      </c>
      <c r="W36" s="106"/>
      <c r="X36" s="68" t="str">
        <f t="shared" si="8"/>
        <v/>
      </c>
      <c r="Y36" s="106"/>
      <c r="Z36" s="68" t="str">
        <f t="shared" si="9"/>
        <v/>
      </c>
      <c r="AA36" s="67"/>
      <c r="AB36" s="68" t="str">
        <f>IF(T36='DERNIER RESULTS'!$Q$2,"D","E")</f>
        <v>E</v>
      </c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105"/>
    </row>
    <row r="37" spans="3:42" x14ac:dyDescent="0.25">
      <c r="C37" s="94" t="str">
        <f t="shared" si="19"/>
        <v/>
      </c>
      <c r="D37" s="95">
        <v>4</v>
      </c>
      <c r="E37" s="96" t="str">
        <f>BUNDESLIGA!F44&amp;IF(OR(BUNDESLIGA!G44="",BUNDESLIGA!H44=""),"",IF(BUNDESLIGA!G44&gt;BUNDESLIGA!H44,"",IF(BUNDESLIGA!G44&lt;BUNDESLIGA!H44,"","")))</f>
        <v>1899 Hoffenheim</v>
      </c>
      <c r="F37" s="96" t="str">
        <f>BUNDESLIGA!I44&amp;IF(OR(BUNDESLIGA!G44="",BUNDESLIGA!H44=""),"",IF(BUNDESLIGA!G44&lt;BUNDESLIGA!H44,"",IF(BUNDESLIGA!G44&gt;BUNDESLIGA!H44,"","")))</f>
        <v>SC Freiburg</v>
      </c>
      <c r="G37" s="96" t="str">
        <f>IF(BUNDESLIGA!G44&lt;&gt;"",BUNDESLIGA!G44&amp;" - "&amp;BUNDESLIGA!H44,"")</f>
        <v>0 - 3</v>
      </c>
      <c r="H37" s="96" t="str">
        <f t="shared" si="17"/>
        <v>1899 Hoffenheim-SC Freiburg</v>
      </c>
      <c r="I37" s="96" t="str">
        <f t="shared" si="1"/>
        <v>0</v>
      </c>
      <c r="J37" s="97" t="str">
        <f t="shared" si="2"/>
        <v>3</v>
      </c>
      <c r="L37" s="67">
        <f t="shared" si="20"/>
        <v>0</v>
      </c>
      <c r="M37" s="67">
        <f t="shared" si="21"/>
        <v>3</v>
      </c>
      <c r="O37" s="67" t="str">
        <f t="shared" si="5"/>
        <v/>
      </c>
      <c r="P37" s="67"/>
      <c r="Q37" s="68">
        <v>34</v>
      </c>
      <c r="R37" s="67"/>
      <c r="S37" s="67">
        <f>(IF(AB37&lt;&gt;"D",0,COUNTIF(AB$4:AB37,"D"))+IF(AB37&lt;&gt;"E",0,COUNTIF(AB$4:AB37,"E")+17))</f>
        <v>17</v>
      </c>
      <c r="T37" s="109" t="str">
        <f t="shared" si="6"/>
        <v>FC Augsburg</v>
      </c>
      <c r="U37" s="110"/>
      <c r="V37" s="111" t="str">
        <f t="shared" si="7"/>
        <v>RB Leipzig</v>
      </c>
      <c r="W37" s="106"/>
      <c r="X37" s="68" t="str">
        <f t="shared" si="8"/>
        <v/>
      </c>
      <c r="Y37" s="106"/>
      <c r="Z37" s="68" t="str">
        <f t="shared" si="9"/>
        <v/>
      </c>
      <c r="AA37" s="67"/>
      <c r="AB37" s="68" t="str">
        <f>IF(T37='DERNIER RESULTS'!$Q$2,"D","E")</f>
        <v>D</v>
      </c>
      <c r="AC37" s="67"/>
      <c r="AD37" s="67"/>
      <c r="AE37" s="67"/>
      <c r="AF37" s="67"/>
      <c r="AG37" s="67"/>
      <c r="AH37" s="67"/>
      <c r="AI37" s="67"/>
      <c r="AJ37" s="67"/>
      <c r="AK37" s="67"/>
      <c r="AL37" s="67"/>
      <c r="AM37" s="67"/>
      <c r="AN37" s="67"/>
      <c r="AO37" s="67"/>
      <c r="AP37" s="105"/>
    </row>
    <row r="38" spans="3:42" x14ac:dyDescent="0.25">
      <c r="C38" s="94" t="str">
        <f t="shared" si="19"/>
        <v/>
      </c>
      <c r="D38" s="95">
        <v>4</v>
      </c>
      <c r="E38" s="96" t="str">
        <f>BUNDESLIGA!F45&amp;IF(OR(BUNDESLIGA!G45="",BUNDESLIGA!H45=""),"",IF(BUNDESLIGA!G45&gt;BUNDESLIGA!H45,"",IF(BUNDESLIGA!G45&lt;BUNDESLIGA!H45,"","")))</f>
        <v>SC Paderborn 07</v>
      </c>
      <c r="F38" s="96" t="str">
        <f>BUNDESLIGA!I45&amp;IF(OR(BUNDESLIGA!G45="",BUNDESLIGA!H45=""),"",IF(BUNDESLIGA!G45&lt;BUNDESLIGA!H45,"",IF(BUNDESLIGA!G45&gt;BUNDESLIGA!H45,"","")))</f>
        <v>FC Schalke 04</v>
      </c>
      <c r="G38" s="96" t="str">
        <f>IF(BUNDESLIGA!G45&lt;&gt;"",BUNDESLIGA!G45&amp;" - "&amp;BUNDESLIGA!H45,"")</f>
        <v>1 - 5</v>
      </c>
      <c r="H38" s="96" t="str">
        <f t="shared" si="17"/>
        <v>SC Paderborn 07-FC Schalke 04</v>
      </c>
      <c r="I38" s="96" t="str">
        <f t="shared" si="1"/>
        <v>1</v>
      </c>
      <c r="J38" s="97" t="str">
        <f t="shared" si="2"/>
        <v>5</v>
      </c>
      <c r="L38" s="67">
        <f t="shared" si="20"/>
        <v>0</v>
      </c>
      <c r="M38" s="67">
        <f t="shared" si="21"/>
        <v>3</v>
      </c>
      <c r="O38" s="67" t="str">
        <f t="shared" si="5"/>
        <v/>
      </c>
      <c r="P38" s="67"/>
      <c r="Q38" s="67"/>
      <c r="R38" s="67"/>
      <c r="S38" s="67"/>
      <c r="T38" s="67"/>
      <c r="U38" s="67"/>
      <c r="V38" s="67"/>
      <c r="W38" s="67"/>
      <c r="X38" s="67"/>
      <c r="Y38" s="67"/>
      <c r="Z38" s="67"/>
      <c r="AA38" s="67"/>
      <c r="AB38" s="67"/>
      <c r="AC38" s="67"/>
      <c r="AD38" s="67"/>
      <c r="AE38" s="67"/>
      <c r="AF38" s="67"/>
      <c r="AG38" s="67"/>
      <c r="AH38" s="67"/>
      <c r="AI38" s="67"/>
      <c r="AJ38" s="67"/>
      <c r="AK38" s="67"/>
      <c r="AL38" s="67"/>
      <c r="AM38" s="67"/>
      <c r="AN38" s="67"/>
      <c r="AO38" s="67"/>
      <c r="AP38" s="105"/>
    </row>
    <row r="39" spans="3:42" x14ac:dyDescent="0.25">
      <c r="C39" s="94" t="str">
        <f t="shared" si="19"/>
        <v/>
      </c>
      <c r="D39" s="95">
        <v>5</v>
      </c>
      <c r="E39" s="96" t="str">
        <f>BUNDESLIGA!F48&amp;IF(OR(BUNDESLIGA!G48="",BUNDESLIGA!H48=""),"",IF(BUNDESLIGA!G48&gt;BUNDESLIGA!H48,"",IF(BUNDESLIGA!G48&lt;BUNDESLIGA!H48,"","")))</f>
        <v>FC Schalke 04</v>
      </c>
      <c r="F39" s="96" t="str">
        <f>BUNDESLIGA!I48&amp;IF(OR(BUNDESLIGA!G48="",BUNDESLIGA!H48=""),"",IF(BUNDESLIGA!G48&lt;BUNDESLIGA!H48,"",IF(BUNDESLIGA!G48&gt;BUNDESLIGA!H48,"","")))</f>
        <v>1. FSV Mainz 05</v>
      </c>
      <c r="G39" s="96" t="str">
        <f>IF(BUNDESLIGA!G48&lt;&gt;"",BUNDESLIGA!G48&amp;" - "&amp;BUNDESLIGA!H48,"")</f>
        <v>2 - 1</v>
      </c>
      <c r="H39" s="96" t="str">
        <f t="shared" si="17"/>
        <v>FC Schalke 04-1. FSV Mainz 05</v>
      </c>
      <c r="I39" s="96" t="str">
        <f t="shared" si="1"/>
        <v>2</v>
      </c>
      <c r="J39" s="97" t="str">
        <f t="shared" si="2"/>
        <v>1</v>
      </c>
      <c r="L39" s="67">
        <f t="shared" si="20"/>
        <v>3</v>
      </c>
      <c r="M39" s="67">
        <f t="shared" si="21"/>
        <v>0</v>
      </c>
      <c r="O39" s="67" t="str">
        <f t="shared" si="5"/>
        <v/>
      </c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105"/>
    </row>
    <row r="40" spans="3:42" x14ac:dyDescent="0.25">
      <c r="C40" s="94" t="str">
        <f t="shared" si="19"/>
        <v/>
      </c>
      <c r="D40" s="95">
        <v>5</v>
      </c>
      <c r="E40" s="96" t="str">
        <f>BUNDESLIGA!F49&amp;IF(OR(BUNDESLIGA!G49="",BUNDESLIGA!H49=""),"",IF(BUNDESLIGA!G49&gt;BUNDESLIGA!H49,"",IF(BUNDESLIGA!G49&lt;BUNDESLIGA!H49,"","")))</f>
        <v>Bayern München</v>
      </c>
      <c r="F40" s="96" t="str">
        <f>BUNDESLIGA!I49&amp;IF(OR(BUNDESLIGA!G49="",BUNDESLIGA!H49=""),"",IF(BUNDESLIGA!G49&lt;BUNDESLIGA!H49,"",IF(BUNDESLIGA!G49&gt;BUNDESLIGA!H49,"","")))</f>
        <v>1. FC Köln</v>
      </c>
      <c r="G40" s="96" t="str">
        <f>IF(BUNDESLIGA!G49&lt;&gt;"",BUNDESLIGA!G49&amp;" - "&amp;BUNDESLIGA!H49,"")</f>
        <v>4 - 0</v>
      </c>
      <c r="H40" s="96" t="str">
        <f t="shared" si="17"/>
        <v>Bayern München-1. FC Köln</v>
      </c>
      <c r="I40" s="96" t="str">
        <f t="shared" si="1"/>
        <v>4</v>
      </c>
      <c r="J40" s="97" t="str">
        <f t="shared" si="2"/>
        <v>0</v>
      </c>
      <c r="L40" s="67">
        <f t="shared" si="20"/>
        <v>3</v>
      </c>
      <c r="M40" s="67">
        <f t="shared" si="21"/>
        <v>0</v>
      </c>
      <c r="O40" s="67" t="str">
        <f t="shared" si="5"/>
        <v/>
      </c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105"/>
    </row>
    <row r="41" spans="3:42" x14ac:dyDescent="0.25">
      <c r="C41" s="94" t="str">
        <f t="shared" si="19"/>
        <v/>
      </c>
      <c r="D41" s="95">
        <v>5</v>
      </c>
      <c r="E41" s="96" t="str">
        <f>BUNDESLIGA!F50&amp;IF(OR(BUNDESLIGA!G50="",BUNDESLIGA!H50=""),"",IF(BUNDESLIGA!G50&gt;BUNDESLIGA!H50,"",IF(BUNDESLIGA!G50&lt;BUNDESLIGA!H50,"","")))</f>
        <v>Bayer Leverkusen</v>
      </c>
      <c r="F41" s="96" t="str">
        <f>BUNDESLIGA!I50&amp;IF(OR(BUNDESLIGA!G50="",BUNDESLIGA!H50=""),"",IF(BUNDESLIGA!G50&lt;BUNDESLIGA!H50,"",IF(BUNDESLIGA!G50&gt;BUNDESLIGA!H50,"","")))</f>
        <v>1. FC Union Berlin</v>
      </c>
      <c r="G41" s="96" t="str">
        <f>IF(BUNDESLIGA!G50&lt;&gt;"",BUNDESLIGA!G50&amp;" - "&amp;BUNDESLIGA!H50,"")</f>
        <v>2 - 0</v>
      </c>
      <c r="H41" s="96" t="str">
        <f t="shared" si="17"/>
        <v>Bayer Leverkusen-1. FC Union Berlin</v>
      </c>
      <c r="I41" s="96" t="str">
        <f t="shared" si="1"/>
        <v>2</v>
      </c>
      <c r="J41" s="97" t="str">
        <f t="shared" si="2"/>
        <v>0</v>
      </c>
      <c r="L41" s="67">
        <f t="shared" si="20"/>
        <v>3</v>
      </c>
      <c r="M41" s="67">
        <f t="shared" si="21"/>
        <v>0</v>
      </c>
      <c r="O41" s="67" t="str">
        <f t="shared" si="5"/>
        <v/>
      </c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105"/>
    </row>
    <row r="42" spans="3:42" x14ac:dyDescent="0.25">
      <c r="C42" s="94" t="str">
        <f t="shared" si="19"/>
        <v/>
      </c>
      <c r="D42" s="95">
        <v>5</v>
      </c>
      <c r="E42" s="96" t="str">
        <f>BUNDESLIGA!F51&amp;IF(OR(BUNDESLIGA!G51="",BUNDESLIGA!H51=""),"",IF(BUNDESLIGA!G51&gt;BUNDESLIGA!H51,"",IF(BUNDESLIGA!G51&lt;BUNDESLIGA!H51,"","")))</f>
        <v>Hertha BSC</v>
      </c>
      <c r="F42" s="96" t="str">
        <f>BUNDESLIGA!I51&amp;IF(OR(BUNDESLIGA!G51="",BUNDESLIGA!H51=""),"",IF(BUNDESLIGA!G51&lt;BUNDESLIGA!H51,"",IF(BUNDESLIGA!G51&gt;BUNDESLIGA!H51,"","")))</f>
        <v>SC Paderborn 07</v>
      </c>
      <c r="G42" s="96" t="str">
        <f>IF(BUNDESLIGA!G51&lt;&gt;"",BUNDESLIGA!G51&amp;" - "&amp;BUNDESLIGA!H51,"")</f>
        <v>2 - 1</v>
      </c>
      <c r="H42" s="96" t="str">
        <f t="shared" si="17"/>
        <v>Hertha BSC-SC Paderborn 07</v>
      </c>
      <c r="I42" s="96" t="str">
        <f t="shared" si="1"/>
        <v>2</v>
      </c>
      <c r="J42" s="97" t="str">
        <f t="shared" si="2"/>
        <v>1</v>
      </c>
      <c r="L42" s="67">
        <f t="shared" si="20"/>
        <v>3</v>
      </c>
      <c r="M42" s="67">
        <f t="shared" si="21"/>
        <v>0</v>
      </c>
      <c r="O42" s="67" t="str">
        <f t="shared" si="5"/>
        <v/>
      </c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105"/>
    </row>
    <row r="43" spans="3:42" x14ac:dyDescent="0.25">
      <c r="C43" s="94">
        <f t="shared" si="19"/>
        <v>5</v>
      </c>
      <c r="D43" s="95">
        <v>5</v>
      </c>
      <c r="E43" s="96" t="str">
        <f>BUNDESLIGA!F52&amp;IF(OR(BUNDESLIGA!G52="",BUNDESLIGA!H52=""),"",IF(BUNDESLIGA!G52&gt;BUNDESLIGA!H52,"",IF(BUNDESLIGA!G52&lt;BUNDESLIGA!H52,"","")))</f>
        <v>SC Freiburg</v>
      </c>
      <c r="F43" s="96" t="str">
        <f>BUNDESLIGA!I52&amp;IF(OR(BUNDESLIGA!G52="",BUNDESLIGA!H52=""),"",IF(BUNDESLIGA!G52&lt;BUNDESLIGA!H52,"",IF(BUNDESLIGA!G52&gt;BUNDESLIGA!H52,"","")))</f>
        <v>FC Augsburg</v>
      </c>
      <c r="G43" s="96" t="str">
        <f>IF(BUNDESLIGA!G52&lt;&gt;"",BUNDESLIGA!G52&amp;" - "&amp;BUNDESLIGA!H52,"")</f>
        <v>1 - 1</v>
      </c>
      <c r="H43" s="96" t="str">
        <f t="shared" si="17"/>
        <v>SC Freiburg-FC Augsburg</v>
      </c>
      <c r="I43" s="96" t="str">
        <f t="shared" si="1"/>
        <v>1</v>
      </c>
      <c r="J43" s="97" t="str">
        <f t="shared" si="2"/>
        <v>1</v>
      </c>
      <c r="L43" s="67">
        <f t="shared" si="20"/>
        <v>1</v>
      </c>
      <c r="M43" s="67">
        <f t="shared" si="21"/>
        <v>1</v>
      </c>
      <c r="O43" s="67">
        <f t="shared" si="5"/>
        <v>43</v>
      </c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105"/>
    </row>
    <row r="44" spans="3:42" x14ac:dyDescent="0.25">
      <c r="C44" s="94" t="str">
        <f t="shared" si="19"/>
        <v/>
      </c>
      <c r="D44" s="95">
        <v>5</v>
      </c>
      <c r="E44" s="96" t="str">
        <f>BUNDESLIGA!F53&amp;IF(OR(BUNDESLIGA!G53="",BUNDESLIGA!H53=""),"",IF(BUNDESLIGA!G53&gt;BUNDESLIGA!H53,"",IF(BUNDESLIGA!G53&lt;BUNDESLIGA!H53,"","")))</f>
        <v>Werder Bremen</v>
      </c>
      <c r="F44" s="96" t="str">
        <f>BUNDESLIGA!I53&amp;IF(OR(BUNDESLIGA!G53="",BUNDESLIGA!H53=""),"",IF(BUNDESLIGA!G53&lt;BUNDESLIGA!H53,"",IF(BUNDESLIGA!G53&gt;BUNDESLIGA!H53,"","")))</f>
        <v>RB Leipzig</v>
      </c>
      <c r="G44" s="96" t="str">
        <f>IF(BUNDESLIGA!G53&lt;&gt;"",BUNDESLIGA!G53&amp;" - "&amp;BUNDESLIGA!H53,"")</f>
        <v>0 - 3</v>
      </c>
      <c r="H44" s="96" t="str">
        <f t="shared" si="17"/>
        <v>Werder Bremen-RB Leipzig</v>
      </c>
      <c r="I44" s="96" t="str">
        <f t="shared" si="1"/>
        <v>0</v>
      </c>
      <c r="J44" s="97" t="str">
        <f t="shared" si="2"/>
        <v>3</v>
      </c>
      <c r="L44" s="67">
        <f t="shared" si="20"/>
        <v>0</v>
      </c>
      <c r="M44" s="67">
        <f t="shared" si="21"/>
        <v>3</v>
      </c>
      <c r="O44" s="67" t="str">
        <f t="shared" si="5"/>
        <v/>
      </c>
      <c r="P44" s="67"/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105"/>
    </row>
    <row r="45" spans="3:42" x14ac:dyDescent="0.25">
      <c r="C45" s="94" t="str">
        <f t="shared" si="19"/>
        <v/>
      </c>
      <c r="D45" s="95">
        <v>5</v>
      </c>
      <c r="E45" s="96" t="str">
        <f>BUNDESLIGA!F54&amp;IF(OR(BUNDESLIGA!G54="",BUNDESLIGA!H54=""),"",IF(BUNDESLIGA!G54&gt;BUNDESLIGA!H54,"",IF(BUNDESLIGA!G54&lt;BUNDESLIGA!H54,"","")))</f>
        <v>Bor. Mönchengladbach</v>
      </c>
      <c r="F45" s="96" t="str">
        <f>BUNDESLIGA!I54&amp;IF(OR(BUNDESLIGA!G54="",BUNDESLIGA!H54=""),"",IF(BUNDESLIGA!G54&lt;BUNDESLIGA!H54,"",IF(BUNDESLIGA!G54&gt;BUNDESLIGA!H54,"","")))</f>
        <v>Fortuna Düsseldorf</v>
      </c>
      <c r="G45" s="96" t="str">
        <f>IF(BUNDESLIGA!G54&lt;&gt;"",BUNDESLIGA!G54&amp;" - "&amp;BUNDESLIGA!H54,"")</f>
        <v>2 - 1</v>
      </c>
      <c r="H45" s="96" t="str">
        <f t="shared" si="17"/>
        <v>Bor. Mönchengladbach-Fortuna Düsseldorf</v>
      </c>
      <c r="I45" s="96" t="str">
        <f t="shared" si="1"/>
        <v>2</v>
      </c>
      <c r="J45" s="97" t="str">
        <f t="shared" si="2"/>
        <v>1</v>
      </c>
      <c r="L45" s="67">
        <f t="shared" si="20"/>
        <v>3</v>
      </c>
      <c r="M45" s="67">
        <f t="shared" si="21"/>
        <v>0</v>
      </c>
      <c r="O45" s="67" t="str">
        <f t="shared" si="5"/>
        <v/>
      </c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105"/>
    </row>
    <row r="46" spans="3:42" x14ac:dyDescent="0.25">
      <c r="C46" s="94" t="str">
        <f t="shared" si="19"/>
        <v/>
      </c>
      <c r="D46" s="95">
        <v>5</v>
      </c>
      <c r="E46" s="96" t="str">
        <f>BUNDESLIGA!F55&amp;IF(OR(BUNDESLIGA!G55="",BUNDESLIGA!H55=""),"",IF(BUNDESLIGA!G55&gt;BUNDESLIGA!H55,"",IF(BUNDESLIGA!G55&lt;BUNDESLIGA!H55,"","")))</f>
        <v>Eintracht Frankfurt</v>
      </c>
      <c r="F46" s="96" t="str">
        <f>BUNDESLIGA!I55&amp;IF(OR(BUNDESLIGA!G55="",BUNDESLIGA!H55=""),"",IF(BUNDESLIGA!G55&lt;BUNDESLIGA!H55,"",IF(BUNDESLIGA!G55&gt;BUNDESLIGA!H55,"","")))</f>
        <v>Borussia Dortmund</v>
      </c>
      <c r="G46" s="96" t="str">
        <f>IF(BUNDESLIGA!G55&lt;&gt;"",BUNDESLIGA!G55&amp;" - "&amp;BUNDESLIGA!H55,"")</f>
        <v>2 - 2</v>
      </c>
      <c r="H46" s="96" t="str">
        <f t="shared" si="17"/>
        <v>Eintracht Frankfurt-Borussia Dortmund</v>
      </c>
      <c r="I46" s="96" t="str">
        <f t="shared" si="1"/>
        <v>2</v>
      </c>
      <c r="J46" s="97" t="str">
        <f t="shared" si="2"/>
        <v>2</v>
      </c>
      <c r="L46" s="67">
        <f t="shared" si="20"/>
        <v>1</v>
      </c>
      <c r="M46" s="67">
        <f t="shared" si="21"/>
        <v>1</v>
      </c>
      <c r="O46" s="67" t="str">
        <f t="shared" si="5"/>
        <v/>
      </c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105"/>
    </row>
    <row r="47" spans="3:42" x14ac:dyDescent="0.25">
      <c r="C47" s="94" t="str">
        <f t="shared" si="19"/>
        <v/>
      </c>
      <c r="D47" s="95">
        <v>5</v>
      </c>
      <c r="E47" s="96" t="str">
        <f>BUNDESLIGA!F56&amp;IF(OR(BUNDESLIGA!G56="",BUNDESLIGA!H56=""),"",IF(BUNDESLIGA!G56&gt;BUNDESLIGA!H56,"",IF(BUNDESLIGA!G56&lt;BUNDESLIGA!H56,"","")))</f>
        <v>VfL Wolfsburg</v>
      </c>
      <c r="F47" s="96" t="str">
        <f>BUNDESLIGA!I56&amp;IF(OR(BUNDESLIGA!G56="",BUNDESLIGA!H56=""),"",IF(BUNDESLIGA!G56&lt;BUNDESLIGA!H56,"",IF(BUNDESLIGA!G56&gt;BUNDESLIGA!H56,"","")))</f>
        <v>1899 Hoffenheim</v>
      </c>
      <c r="G47" s="96" t="str">
        <f>IF(BUNDESLIGA!G56&lt;&gt;"",BUNDESLIGA!G56&amp;" - "&amp;BUNDESLIGA!H56,"")</f>
        <v>1 - 1</v>
      </c>
      <c r="H47" s="96" t="str">
        <f t="shared" si="17"/>
        <v>VfL Wolfsburg-1899 Hoffenheim</v>
      </c>
      <c r="I47" s="96" t="str">
        <f t="shared" si="1"/>
        <v>1</v>
      </c>
      <c r="J47" s="97" t="str">
        <f t="shared" si="2"/>
        <v>1</v>
      </c>
      <c r="L47" s="67">
        <f t="shared" si="20"/>
        <v>1</v>
      </c>
      <c r="M47" s="67">
        <f t="shared" si="21"/>
        <v>1</v>
      </c>
      <c r="O47" s="67" t="str">
        <f t="shared" si="5"/>
        <v/>
      </c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105"/>
    </row>
    <row r="48" spans="3:42" x14ac:dyDescent="0.25">
      <c r="C48" s="94" t="str">
        <f t="shared" si="19"/>
        <v/>
      </c>
      <c r="D48" s="95">
        <v>6</v>
      </c>
      <c r="E48" s="96" t="str">
        <f>BUNDESLIGA!F59&amp;IF(OR(BUNDESLIGA!G59="",BUNDESLIGA!H59=""),"",IF(BUNDESLIGA!G59&gt;BUNDESLIGA!H59,"",IF(BUNDESLIGA!G59&lt;BUNDESLIGA!H59,"","")))</f>
        <v>1. FC Union Berlin</v>
      </c>
      <c r="F48" s="96" t="str">
        <f>BUNDESLIGA!I59&amp;IF(OR(BUNDESLIGA!G59="",BUNDESLIGA!H59=""),"",IF(BUNDESLIGA!G59&lt;BUNDESLIGA!H59,"",IF(BUNDESLIGA!G59&gt;BUNDESLIGA!H59,"","")))</f>
        <v>Eintracht Frankfurt</v>
      </c>
      <c r="G48" s="96" t="str">
        <f>IF(BUNDESLIGA!G59&lt;&gt;"",BUNDESLIGA!G59&amp;" - "&amp;BUNDESLIGA!H59,"")</f>
        <v>1 - 2</v>
      </c>
      <c r="H48" s="96" t="str">
        <f t="shared" si="17"/>
        <v>1. FC Union Berlin-Eintracht Frankfurt</v>
      </c>
      <c r="I48" s="96" t="str">
        <f t="shared" si="1"/>
        <v>1</v>
      </c>
      <c r="J48" s="97" t="str">
        <f t="shared" si="2"/>
        <v>2</v>
      </c>
      <c r="L48" s="67">
        <f t="shared" si="20"/>
        <v>0</v>
      </c>
      <c r="M48" s="67">
        <f t="shared" si="21"/>
        <v>3</v>
      </c>
      <c r="O48" s="67" t="str">
        <f t="shared" si="5"/>
        <v/>
      </c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105"/>
    </row>
    <row r="49" spans="3:42" x14ac:dyDescent="0.25">
      <c r="C49" s="94" t="str">
        <f t="shared" si="19"/>
        <v/>
      </c>
      <c r="D49" s="95">
        <v>6</v>
      </c>
      <c r="E49" s="96" t="str">
        <f>BUNDESLIGA!F60&amp;IF(OR(BUNDESLIGA!G60="",BUNDESLIGA!H60=""),"",IF(BUNDESLIGA!G60&gt;BUNDESLIGA!H60,"",IF(BUNDESLIGA!G60&lt;BUNDESLIGA!H60,"","")))</f>
        <v>RB Leipzig</v>
      </c>
      <c r="F49" s="96" t="str">
        <f>BUNDESLIGA!I60&amp;IF(OR(BUNDESLIGA!G60="",BUNDESLIGA!H60=""),"",IF(BUNDESLIGA!G60&lt;BUNDESLIGA!H60,"",IF(BUNDESLIGA!G60&gt;BUNDESLIGA!H60,"","")))</f>
        <v>FC Schalke 04</v>
      </c>
      <c r="G49" s="96" t="str">
        <f>IF(BUNDESLIGA!G60&lt;&gt;"",BUNDESLIGA!G60&amp;" - "&amp;BUNDESLIGA!H60,"")</f>
        <v>1 - 3</v>
      </c>
      <c r="H49" s="96" t="str">
        <f t="shared" si="17"/>
        <v>RB Leipzig-FC Schalke 04</v>
      </c>
      <c r="I49" s="96" t="str">
        <f t="shared" si="1"/>
        <v>1</v>
      </c>
      <c r="J49" s="97" t="str">
        <f t="shared" si="2"/>
        <v>3</v>
      </c>
      <c r="L49" s="67">
        <f t="shared" si="20"/>
        <v>0</v>
      </c>
      <c r="M49" s="67">
        <f t="shared" si="21"/>
        <v>3</v>
      </c>
      <c r="O49" s="67" t="str">
        <f t="shared" si="5"/>
        <v/>
      </c>
      <c r="P49" s="67"/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105"/>
    </row>
    <row r="50" spans="3:42" x14ac:dyDescent="0.25">
      <c r="C50" s="94" t="str">
        <f t="shared" si="19"/>
        <v/>
      </c>
      <c r="D50" s="95">
        <v>6</v>
      </c>
      <c r="E50" s="96" t="str">
        <f>BUNDESLIGA!F61&amp;IF(OR(BUNDESLIGA!G61="",BUNDESLIGA!H61=""),"",IF(BUNDESLIGA!G61&gt;BUNDESLIGA!H61,"",IF(BUNDESLIGA!G61&lt;BUNDESLIGA!H61,"","")))</f>
        <v>1899 Hoffenheim</v>
      </c>
      <c r="F50" s="96" t="str">
        <f>BUNDESLIGA!I61&amp;IF(OR(BUNDESLIGA!G61="",BUNDESLIGA!H61=""),"",IF(BUNDESLIGA!G61&lt;BUNDESLIGA!H61,"",IF(BUNDESLIGA!G61&gt;BUNDESLIGA!H61,"","")))</f>
        <v>Bor. Mönchengladbach</v>
      </c>
      <c r="G50" s="96" t="str">
        <f>IF(BUNDESLIGA!G61&lt;&gt;"",BUNDESLIGA!G61&amp;" - "&amp;BUNDESLIGA!H61,"")</f>
        <v>0 - 3</v>
      </c>
      <c r="H50" s="96" t="str">
        <f t="shared" si="17"/>
        <v>1899 Hoffenheim-Bor. Mönchengladbach</v>
      </c>
      <c r="I50" s="96" t="str">
        <f t="shared" si="1"/>
        <v>0</v>
      </c>
      <c r="J50" s="97" t="str">
        <f t="shared" si="2"/>
        <v>3</v>
      </c>
      <c r="L50" s="67">
        <f t="shared" si="20"/>
        <v>0</v>
      </c>
      <c r="M50" s="67">
        <f t="shared" si="21"/>
        <v>3</v>
      </c>
      <c r="O50" s="67" t="str">
        <f t="shared" si="5"/>
        <v/>
      </c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105"/>
    </row>
    <row r="51" spans="3:42" x14ac:dyDescent="0.25">
      <c r="C51" s="94" t="str">
        <f t="shared" si="19"/>
        <v/>
      </c>
      <c r="D51" s="95">
        <v>6</v>
      </c>
      <c r="E51" s="96" t="str">
        <f>BUNDESLIGA!F62&amp;IF(OR(BUNDESLIGA!G62="",BUNDESLIGA!H62=""),"",IF(BUNDESLIGA!G62&gt;BUNDESLIGA!H62,"",IF(BUNDESLIGA!G62&lt;BUNDESLIGA!H62,"","")))</f>
        <v>1. FSV Mainz 05</v>
      </c>
      <c r="F51" s="96" t="str">
        <f>BUNDESLIGA!I62&amp;IF(OR(BUNDESLIGA!G62="",BUNDESLIGA!H62=""),"",IF(BUNDESLIGA!G62&lt;BUNDESLIGA!H62,"",IF(BUNDESLIGA!G62&gt;BUNDESLIGA!H62,"","")))</f>
        <v>VfL Wolfsburg</v>
      </c>
      <c r="G51" s="96" t="str">
        <f>IF(BUNDESLIGA!G62&lt;&gt;"",BUNDESLIGA!G62&amp;" - "&amp;BUNDESLIGA!H62,"")</f>
        <v>0 - 1</v>
      </c>
      <c r="H51" s="96" t="str">
        <f t="shared" si="17"/>
        <v>1. FSV Mainz 05-VfL Wolfsburg</v>
      </c>
      <c r="I51" s="96" t="str">
        <f t="shared" si="1"/>
        <v>0</v>
      </c>
      <c r="J51" s="97" t="str">
        <f t="shared" si="2"/>
        <v>1</v>
      </c>
      <c r="L51" s="67">
        <f t="shared" si="20"/>
        <v>0</v>
      </c>
      <c r="M51" s="67">
        <f t="shared" si="21"/>
        <v>3</v>
      </c>
      <c r="O51" s="67" t="str">
        <f t="shared" si="5"/>
        <v/>
      </c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105"/>
    </row>
    <row r="52" spans="3:42" x14ac:dyDescent="0.25">
      <c r="C52" s="94">
        <f t="shared" si="19"/>
        <v>6</v>
      </c>
      <c r="D52" s="95">
        <v>6</v>
      </c>
      <c r="E52" s="96" t="str">
        <f>BUNDESLIGA!F63&amp;IF(OR(BUNDESLIGA!G63="",BUNDESLIGA!H63=""),"",IF(BUNDESLIGA!G63&gt;BUNDESLIGA!H63,"",IF(BUNDESLIGA!G63&lt;BUNDESLIGA!H63,"","")))</f>
        <v>FC Augsburg</v>
      </c>
      <c r="F52" s="96" t="str">
        <f>BUNDESLIGA!I63&amp;IF(OR(BUNDESLIGA!G63="",BUNDESLIGA!H63=""),"",IF(BUNDESLIGA!G63&lt;BUNDESLIGA!H63,"",IF(BUNDESLIGA!G63&gt;BUNDESLIGA!H63,"","")))</f>
        <v>Bayer Leverkusen</v>
      </c>
      <c r="G52" s="96" t="str">
        <f>IF(BUNDESLIGA!G63&lt;&gt;"",BUNDESLIGA!G63&amp;" - "&amp;BUNDESLIGA!H63,"")</f>
        <v>0 - 3</v>
      </c>
      <c r="H52" s="96" t="str">
        <f t="shared" si="17"/>
        <v>FC Augsburg-Bayer Leverkusen</v>
      </c>
      <c r="I52" s="96" t="str">
        <f t="shared" si="1"/>
        <v>0</v>
      </c>
      <c r="J52" s="97" t="str">
        <f t="shared" si="2"/>
        <v>3</v>
      </c>
      <c r="L52" s="67">
        <f t="shared" si="20"/>
        <v>0</v>
      </c>
      <c r="M52" s="67">
        <f t="shared" si="21"/>
        <v>3</v>
      </c>
      <c r="O52" s="67">
        <f t="shared" si="5"/>
        <v>52</v>
      </c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105"/>
    </row>
    <row r="53" spans="3:42" x14ac:dyDescent="0.25">
      <c r="C53" s="94" t="str">
        <f t="shared" si="19"/>
        <v/>
      </c>
      <c r="D53" s="95">
        <v>6</v>
      </c>
      <c r="E53" s="96" t="str">
        <f>BUNDESLIGA!F64&amp;IF(OR(BUNDESLIGA!G64="",BUNDESLIGA!H64=""),"",IF(BUNDESLIGA!G64&gt;BUNDESLIGA!H64,"",IF(BUNDESLIGA!G64&lt;BUNDESLIGA!H64,"","")))</f>
        <v>SC Paderborn 07</v>
      </c>
      <c r="F53" s="96" t="str">
        <f>BUNDESLIGA!I64&amp;IF(OR(BUNDESLIGA!G64="",BUNDESLIGA!H64=""),"",IF(BUNDESLIGA!G64&lt;BUNDESLIGA!H64,"",IF(BUNDESLIGA!G64&gt;BUNDESLIGA!H64,"","")))</f>
        <v>Bayern München</v>
      </c>
      <c r="G53" s="96" t="str">
        <f>IF(BUNDESLIGA!G64&lt;&gt;"",BUNDESLIGA!G64&amp;" - "&amp;BUNDESLIGA!H64,"")</f>
        <v>2 - 3</v>
      </c>
      <c r="H53" s="96" t="str">
        <f t="shared" si="17"/>
        <v>SC Paderborn 07-Bayern München</v>
      </c>
      <c r="I53" s="96" t="str">
        <f t="shared" si="1"/>
        <v>2</v>
      </c>
      <c r="J53" s="97" t="str">
        <f t="shared" si="2"/>
        <v>3</v>
      </c>
      <c r="L53" s="67">
        <f t="shared" si="20"/>
        <v>0</v>
      </c>
      <c r="M53" s="67">
        <f t="shared" si="21"/>
        <v>3</v>
      </c>
      <c r="O53" s="67" t="str">
        <f t="shared" si="5"/>
        <v/>
      </c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105"/>
    </row>
    <row r="54" spans="3:42" x14ac:dyDescent="0.25">
      <c r="C54" s="94" t="str">
        <f t="shared" si="19"/>
        <v/>
      </c>
      <c r="D54" s="95">
        <v>6</v>
      </c>
      <c r="E54" s="96" t="str">
        <f>BUNDESLIGA!F65&amp;IF(OR(BUNDESLIGA!G65="",BUNDESLIGA!H65=""),"",IF(BUNDESLIGA!G65&gt;BUNDESLIGA!H65,"",IF(BUNDESLIGA!G65&lt;BUNDESLIGA!H65,"","")))</f>
        <v>Borussia Dortmund</v>
      </c>
      <c r="F54" s="96" t="str">
        <f>BUNDESLIGA!I65&amp;IF(OR(BUNDESLIGA!G65="",BUNDESLIGA!H65=""),"",IF(BUNDESLIGA!G65&lt;BUNDESLIGA!H65,"",IF(BUNDESLIGA!G65&gt;BUNDESLIGA!H65,"","")))</f>
        <v>Werder Bremen</v>
      </c>
      <c r="G54" s="96" t="str">
        <f>IF(BUNDESLIGA!G65&lt;&gt;"",BUNDESLIGA!G65&amp;" - "&amp;BUNDESLIGA!H65,"")</f>
        <v>2 - 2</v>
      </c>
      <c r="H54" s="96" t="str">
        <f t="shared" si="17"/>
        <v>Borussia Dortmund-Werder Bremen</v>
      </c>
      <c r="I54" s="96" t="str">
        <f t="shared" si="1"/>
        <v>2</v>
      </c>
      <c r="J54" s="97" t="str">
        <f t="shared" si="2"/>
        <v>2</v>
      </c>
      <c r="L54" s="67">
        <f t="shared" si="20"/>
        <v>1</v>
      </c>
      <c r="M54" s="67">
        <f t="shared" si="21"/>
        <v>1</v>
      </c>
      <c r="O54" s="67" t="str">
        <f t="shared" si="5"/>
        <v/>
      </c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105"/>
    </row>
    <row r="55" spans="3:42" x14ac:dyDescent="0.25">
      <c r="C55" s="94" t="str">
        <f t="shared" si="19"/>
        <v/>
      </c>
      <c r="D55" s="95">
        <v>6</v>
      </c>
      <c r="E55" s="96" t="str">
        <f>BUNDESLIGA!F66&amp;IF(OR(BUNDESLIGA!G66="",BUNDESLIGA!H66=""),"",IF(BUNDESLIGA!G66&gt;BUNDESLIGA!H66,"",IF(BUNDESLIGA!G66&lt;BUNDESLIGA!H66,"","")))</f>
        <v>Fortuna Düsseldorf</v>
      </c>
      <c r="F55" s="96" t="str">
        <f>BUNDESLIGA!I66&amp;IF(OR(BUNDESLIGA!G66="",BUNDESLIGA!H66=""),"",IF(BUNDESLIGA!G66&lt;BUNDESLIGA!H66,"",IF(BUNDESLIGA!G66&gt;BUNDESLIGA!H66,"","")))</f>
        <v>SC Freiburg</v>
      </c>
      <c r="G55" s="96" t="str">
        <f>IF(BUNDESLIGA!G66&lt;&gt;"",BUNDESLIGA!G66&amp;" - "&amp;BUNDESLIGA!H66,"")</f>
        <v>1 - 2</v>
      </c>
      <c r="H55" s="96" t="str">
        <f t="shared" si="17"/>
        <v>Fortuna Düsseldorf-SC Freiburg</v>
      </c>
      <c r="I55" s="96" t="str">
        <f t="shared" si="1"/>
        <v>1</v>
      </c>
      <c r="J55" s="97" t="str">
        <f t="shared" si="2"/>
        <v>2</v>
      </c>
      <c r="L55" s="67">
        <f t="shared" si="20"/>
        <v>0</v>
      </c>
      <c r="M55" s="67">
        <f t="shared" si="21"/>
        <v>3</v>
      </c>
      <c r="O55" s="67" t="str">
        <f t="shared" si="5"/>
        <v/>
      </c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105"/>
    </row>
    <row r="56" spans="3:42" x14ac:dyDescent="0.25">
      <c r="C56" s="94" t="str">
        <f t="shared" si="19"/>
        <v/>
      </c>
      <c r="D56" s="95">
        <v>6</v>
      </c>
      <c r="E56" s="96" t="str">
        <f>BUNDESLIGA!F67&amp;IF(OR(BUNDESLIGA!G67="",BUNDESLIGA!H67=""),"",IF(BUNDESLIGA!G67&gt;BUNDESLIGA!H67,"",IF(BUNDESLIGA!G67&lt;BUNDESLIGA!H67,"","")))</f>
        <v>1. FC Köln</v>
      </c>
      <c r="F56" s="96" t="str">
        <f>BUNDESLIGA!I67&amp;IF(OR(BUNDESLIGA!G67="",BUNDESLIGA!H67=""),"",IF(BUNDESLIGA!G67&lt;BUNDESLIGA!H67,"",IF(BUNDESLIGA!G67&gt;BUNDESLIGA!H67,"","")))</f>
        <v>Hertha BSC</v>
      </c>
      <c r="G56" s="96" t="str">
        <f>IF(BUNDESLIGA!G67&lt;&gt;"",BUNDESLIGA!G67&amp;" - "&amp;BUNDESLIGA!H67,"")</f>
        <v>0 - 4</v>
      </c>
      <c r="H56" s="96" t="str">
        <f t="shared" si="17"/>
        <v>1. FC Köln-Hertha BSC</v>
      </c>
      <c r="I56" s="96" t="str">
        <f t="shared" si="1"/>
        <v>0</v>
      </c>
      <c r="J56" s="97" t="str">
        <f t="shared" si="2"/>
        <v>4</v>
      </c>
      <c r="L56" s="67">
        <f t="shared" si="20"/>
        <v>0</v>
      </c>
      <c r="M56" s="67">
        <f t="shared" si="21"/>
        <v>3</v>
      </c>
      <c r="O56" s="67" t="str">
        <f t="shared" si="5"/>
        <v/>
      </c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105"/>
    </row>
    <row r="57" spans="3:42" x14ac:dyDescent="0.25">
      <c r="C57" s="94" t="str">
        <f t="shared" si="19"/>
        <v/>
      </c>
      <c r="D57" s="95">
        <v>7</v>
      </c>
      <c r="E57" s="96" t="str">
        <f>BUNDESLIGA!F70&amp;IF(OR(BUNDESLIGA!G70="",BUNDESLIGA!H70=""),"",IF(BUNDESLIGA!G70&gt;BUNDESLIGA!H70,"",IF(BUNDESLIGA!G70&lt;BUNDESLIGA!H70,"","")))</f>
        <v>Bayern München</v>
      </c>
      <c r="F57" s="96" t="str">
        <f>BUNDESLIGA!I70&amp;IF(OR(BUNDESLIGA!G70="",BUNDESLIGA!H70=""),"",IF(BUNDESLIGA!G70&lt;BUNDESLIGA!H70,"",IF(BUNDESLIGA!G70&gt;BUNDESLIGA!H70,"","")))</f>
        <v>1899 Hoffenheim</v>
      </c>
      <c r="G57" s="96" t="str">
        <f>IF(BUNDESLIGA!G70&lt;&gt;"",BUNDESLIGA!G70&amp;" - "&amp;BUNDESLIGA!H70,"")</f>
        <v>1 - 2</v>
      </c>
      <c r="H57" s="96" t="str">
        <f t="shared" si="17"/>
        <v>Bayern München-1899 Hoffenheim</v>
      </c>
      <c r="I57" s="96" t="str">
        <f t="shared" si="1"/>
        <v>1</v>
      </c>
      <c r="J57" s="97" t="str">
        <f t="shared" si="2"/>
        <v>2</v>
      </c>
      <c r="L57" s="67">
        <f t="shared" si="20"/>
        <v>0</v>
      </c>
      <c r="M57" s="67">
        <f t="shared" si="21"/>
        <v>3</v>
      </c>
      <c r="O57" s="67" t="str">
        <f t="shared" si="5"/>
        <v/>
      </c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105"/>
    </row>
    <row r="58" spans="3:42" x14ac:dyDescent="0.25">
      <c r="C58" s="94" t="str">
        <f t="shared" si="19"/>
        <v/>
      </c>
      <c r="D58" s="95">
        <v>7</v>
      </c>
      <c r="E58" s="96" t="str">
        <f>BUNDESLIGA!F71&amp;IF(OR(BUNDESLIGA!G71="",BUNDESLIGA!H71=""),"",IF(BUNDESLIGA!G71&gt;BUNDESLIGA!H71,"",IF(BUNDESLIGA!G71&lt;BUNDESLIGA!H71,"","")))</f>
        <v>Bayer Leverkusen</v>
      </c>
      <c r="F58" s="96" t="str">
        <f>BUNDESLIGA!I71&amp;IF(OR(BUNDESLIGA!G71="",BUNDESLIGA!H71=""),"",IF(BUNDESLIGA!G71&lt;BUNDESLIGA!H71,"",IF(BUNDESLIGA!G71&gt;BUNDESLIGA!H71,"","")))</f>
        <v>RB Leipzig</v>
      </c>
      <c r="G58" s="96" t="str">
        <f>IF(BUNDESLIGA!G71&lt;&gt;"",BUNDESLIGA!G71&amp;" - "&amp;BUNDESLIGA!H71,"")</f>
        <v>1 - 1</v>
      </c>
      <c r="H58" s="96" t="str">
        <f t="shared" si="17"/>
        <v>Bayer Leverkusen-RB Leipzig</v>
      </c>
      <c r="I58" s="96" t="str">
        <f t="shared" si="1"/>
        <v>1</v>
      </c>
      <c r="J58" s="97" t="str">
        <f t="shared" si="2"/>
        <v>1</v>
      </c>
      <c r="L58" s="67">
        <f t="shared" si="20"/>
        <v>1</v>
      </c>
      <c r="M58" s="67">
        <f t="shared" si="21"/>
        <v>1</v>
      </c>
      <c r="O58" s="67" t="str">
        <f t="shared" si="5"/>
        <v/>
      </c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105"/>
    </row>
    <row r="59" spans="3:42" x14ac:dyDescent="0.25">
      <c r="C59" s="94">
        <f t="shared" si="19"/>
        <v>7</v>
      </c>
      <c r="D59" s="95">
        <v>7</v>
      </c>
      <c r="E59" s="96" t="str">
        <f>BUNDESLIGA!F72&amp;IF(OR(BUNDESLIGA!G72="",BUNDESLIGA!H72=""),"",IF(BUNDESLIGA!G72&gt;BUNDESLIGA!H72,"",IF(BUNDESLIGA!G72&lt;BUNDESLIGA!H72,"","")))</f>
        <v>Bor. Mönchengladbach</v>
      </c>
      <c r="F59" s="96" t="str">
        <f>BUNDESLIGA!I72&amp;IF(OR(BUNDESLIGA!G72="",BUNDESLIGA!H72=""),"",IF(BUNDESLIGA!G72&lt;BUNDESLIGA!H72,"",IF(BUNDESLIGA!G72&gt;BUNDESLIGA!H72,"","")))</f>
        <v>FC Augsburg</v>
      </c>
      <c r="G59" s="96" t="str">
        <f>IF(BUNDESLIGA!G72&lt;&gt;"",BUNDESLIGA!G72&amp;" - "&amp;BUNDESLIGA!H72,"")</f>
        <v>5 - 1</v>
      </c>
      <c r="H59" s="96" t="str">
        <f t="shared" si="17"/>
        <v>Bor. Mönchengladbach-FC Augsburg</v>
      </c>
      <c r="I59" s="96" t="str">
        <f t="shared" si="1"/>
        <v>5</v>
      </c>
      <c r="J59" s="97" t="str">
        <f t="shared" si="2"/>
        <v>1</v>
      </c>
      <c r="L59" s="67">
        <f t="shared" si="20"/>
        <v>3</v>
      </c>
      <c r="M59" s="67">
        <f t="shared" si="21"/>
        <v>0</v>
      </c>
      <c r="O59" s="67">
        <f t="shared" si="5"/>
        <v>59</v>
      </c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105"/>
    </row>
    <row r="60" spans="3:42" x14ac:dyDescent="0.25">
      <c r="C60" s="94" t="str">
        <f t="shared" si="19"/>
        <v/>
      </c>
      <c r="D60" s="95">
        <v>7</v>
      </c>
      <c r="E60" s="96" t="str">
        <f>BUNDESLIGA!F73&amp;IF(OR(BUNDESLIGA!G73="",BUNDESLIGA!H73=""),"",IF(BUNDESLIGA!G73&gt;BUNDESLIGA!H73,"",IF(BUNDESLIGA!G73&lt;BUNDESLIGA!H73,"","")))</f>
        <v>VfL Wolfsburg</v>
      </c>
      <c r="F60" s="96" t="str">
        <f>BUNDESLIGA!I73&amp;IF(OR(BUNDESLIGA!G73="",BUNDESLIGA!H73=""),"",IF(BUNDESLIGA!G73&lt;BUNDESLIGA!H73,"",IF(BUNDESLIGA!G73&gt;BUNDESLIGA!H73,"","")))</f>
        <v>1. FC Union Berlin</v>
      </c>
      <c r="G60" s="96" t="str">
        <f>IF(BUNDESLIGA!G73&lt;&gt;"",BUNDESLIGA!G73&amp;" - "&amp;BUNDESLIGA!H73,"")</f>
        <v>1 - 0</v>
      </c>
      <c r="H60" s="96" t="str">
        <f t="shared" si="17"/>
        <v>VfL Wolfsburg-1. FC Union Berlin</v>
      </c>
      <c r="I60" s="96" t="str">
        <f t="shared" si="1"/>
        <v>1</v>
      </c>
      <c r="J60" s="97" t="str">
        <f t="shared" si="2"/>
        <v>0</v>
      </c>
      <c r="L60" s="67">
        <f t="shared" si="20"/>
        <v>3</v>
      </c>
      <c r="M60" s="67">
        <f t="shared" si="21"/>
        <v>0</v>
      </c>
      <c r="O60" s="67" t="str">
        <f t="shared" si="5"/>
        <v/>
      </c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105"/>
    </row>
    <row r="61" spans="3:42" x14ac:dyDescent="0.25">
      <c r="C61" s="94" t="str">
        <f t="shared" si="19"/>
        <v/>
      </c>
      <c r="D61" s="95">
        <v>7</v>
      </c>
      <c r="E61" s="96" t="str">
        <f>BUNDESLIGA!F74&amp;IF(OR(BUNDESLIGA!G74="",BUNDESLIGA!H74=""),"",IF(BUNDESLIGA!G74&gt;BUNDESLIGA!H74,"",IF(BUNDESLIGA!G74&lt;BUNDESLIGA!H74,"","")))</f>
        <v>Eintracht Frankfurt</v>
      </c>
      <c r="F61" s="96" t="str">
        <f>BUNDESLIGA!I74&amp;IF(OR(BUNDESLIGA!G74="",BUNDESLIGA!H74=""),"",IF(BUNDESLIGA!G74&lt;BUNDESLIGA!H74,"",IF(BUNDESLIGA!G74&gt;BUNDESLIGA!H74,"","")))</f>
        <v>Werder Bremen</v>
      </c>
      <c r="G61" s="96" t="str">
        <f>IF(BUNDESLIGA!G74&lt;&gt;"",BUNDESLIGA!G74&amp;" - "&amp;BUNDESLIGA!H74,"")</f>
        <v>2 - 2</v>
      </c>
      <c r="H61" s="96" t="str">
        <f t="shared" si="17"/>
        <v>Eintracht Frankfurt-Werder Bremen</v>
      </c>
      <c r="I61" s="96" t="str">
        <f t="shared" si="1"/>
        <v>2</v>
      </c>
      <c r="J61" s="97" t="str">
        <f t="shared" si="2"/>
        <v>2</v>
      </c>
      <c r="L61" s="67">
        <f t="shared" si="20"/>
        <v>1</v>
      </c>
      <c r="M61" s="67">
        <f t="shared" si="21"/>
        <v>1</v>
      </c>
      <c r="O61" s="67" t="str">
        <f t="shared" si="5"/>
        <v/>
      </c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105"/>
    </row>
    <row r="62" spans="3:42" x14ac:dyDescent="0.25">
      <c r="C62" s="94" t="str">
        <f t="shared" si="19"/>
        <v/>
      </c>
      <c r="D62" s="95">
        <v>7</v>
      </c>
      <c r="E62" s="96" t="str">
        <f>BUNDESLIGA!F75&amp;IF(OR(BUNDESLIGA!G75="",BUNDESLIGA!H75=""),"",IF(BUNDESLIGA!G75&gt;BUNDESLIGA!H75,"",IF(BUNDESLIGA!G75&lt;BUNDESLIGA!H75,"","")))</f>
        <v>Hertha BSC</v>
      </c>
      <c r="F62" s="96" t="str">
        <f>BUNDESLIGA!I75&amp;IF(OR(BUNDESLIGA!G75="",BUNDESLIGA!H75=""),"",IF(BUNDESLIGA!G75&lt;BUNDESLIGA!H75,"",IF(BUNDESLIGA!G75&gt;BUNDESLIGA!H75,"","")))</f>
        <v>Fortuna Düsseldorf</v>
      </c>
      <c r="G62" s="96" t="str">
        <f>IF(BUNDESLIGA!G75&lt;&gt;"",BUNDESLIGA!G75&amp;" - "&amp;BUNDESLIGA!H75,"")</f>
        <v>3 - 1</v>
      </c>
      <c r="H62" s="96" t="str">
        <f t="shared" si="17"/>
        <v>Hertha BSC-Fortuna Düsseldorf</v>
      </c>
      <c r="I62" s="96" t="str">
        <f t="shared" si="1"/>
        <v>3</v>
      </c>
      <c r="J62" s="97" t="str">
        <f t="shared" si="2"/>
        <v>1</v>
      </c>
      <c r="L62" s="67">
        <f t="shared" si="20"/>
        <v>3</v>
      </c>
      <c r="M62" s="67">
        <f t="shared" si="21"/>
        <v>0</v>
      </c>
      <c r="O62" s="67" t="str">
        <f t="shared" si="5"/>
        <v/>
      </c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105"/>
    </row>
    <row r="63" spans="3:42" x14ac:dyDescent="0.25">
      <c r="C63" s="94" t="str">
        <f t="shared" si="19"/>
        <v/>
      </c>
      <c r="D63" s="95">
        <v>7</v>
      </c>
      <c r="E63" s="96" t="str">
        <f>BUNDESLIGA!F76&amp;IF(OR(BUNDESLIGA!G76="",BUNDESLIGA!H76=""),"",IF(BUNDESLIGA!G76&gt;BUNDESLIGA!H76,"",IF(BUNDESLIGA!G76&lt;BUNDESLIGA!H76,"","")))</f>
        <v>SC Freiburg</v>
      </c>
      <c r="F63" s="96" t="str">
        <f>BUNDESLIGA!I76&amp;IF(OR(BUNDESLIGA!G76="",BUNDESLIGA!H76=""),"",IF(BUNDESLIGA!G76&lt;BUNDESLIGA!H76,"",IF(BUNDESLIGA!G76&gt;BUNDESLIGA!H76,"","")))</f>
        <v>Borussia Dortmund</v>
      </c>
      <c r="G63" s="96" t="str">
        <f>IF(BUNDESLIGA!G76&lt;&gt;"",BUNDESLIGA!G76&amp;" - "&amp;BUNDESLIGA!H76,"")</f>
        <v>2 - 2</v>
      </c>
      <c r="H63" s="96" t="str">
        <f t="shared" si="17"/>
        <v>SC Freiburg-Borussia Dortmund</v>
      </c>
      <c r="I63" s="96" t="str">
        <f t="shared" si="1"/>
        <v>2</v>
      </c>
      <c r="J63" s="97" t="str">
        <f t="shared" si="2"/>
        <v>2</v>
      </c>
      <c r="L63" s="67">
        <f t="shared" si="20"/>
        <v>1</v>
      </c>
      <c r="M63" s="67">
        <f t="shared" si="21"/>
        <v>1</v>
      </c>
      <c r="O63" s="67" t="str">
        <f t="shared" si="5"/>
        <v/>
      </c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105"/>
    </row>
    <row r="64" spans="3:42" x14ac:dyDescent="0.25">
      <c r="C64" s="94" t="str">
        <f t="shared" si="19"/>
        <v/>
      </c>
      <c r="D64" s="95">
        <v>7</v>
      </c>
      <c r="E64" s="96" t="str">
        <f>BUNDESLIGA!F77&amp;IF(OR(BUNDESLIGA!G77="",BUNDESLIGA!H77=""),"",IF(BUNDESLIGA!G77&gt;BUNDESLIGA!H77,"",IF(BUNDESLIGA!G77&lt;BUNDESLIGA!H77,"","")))</f>
        <v>FC Schalke 04</v>
      </c>
      <c r="F64" s="96" t="str">
        <f>BUNDESLIGA!I77&amp;IF(OR(BUNDESLIGA!G77="",BUNDESLIGA!H77=""),"",IF(BUNDESLIGA!G77&lt;BUNDESLIGA!H77,"",IF(BUNDESLIGA!G77&gt;BUNDESLIGA!H77,"","")))</f>
        <v>1. FC Köln</v>
      </c>
      <c r="G64" s="96" t="str">
        <f>IF(BUNDESLIGA!G77&lt;&gt;"",BUNDESLIGA!G77&amp;" - "&amp;BUNDESLIGA!H77,"")</f>
        <v>1 - 1</v>
      </c>
      <c r="H64" s="96" t="str">
        <f t="shared" si="17"/>
        <v>FC Schalke 04-1. FC Köln</v>
      </c>
      <c r="I64" s="96" t="str">
        <f t="shared" si="1"/>
        <v>1</v>
      </c>
      <c r="J64" s="97" t="str">
        <f t="shared" si="2"/>
        <v>1</v>
      </c>
      <c r="L64" s="67">
        <f t="shared" si="20"/>
        <v>1</v>
      </c>
      <c r="M64" s="67">
        <f t="shared" si="21"/>
        <v>1</v>
      </c>
      <c r="O64" s="67" t="str">
        <f t="shared" si="5"/>
        <v/>
      </c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105"/>
    </row>
    <row r="65" spans="3:42" x14ac:dyDescent="0.25">
      <c r="C65" s="94" t="str">
        <f t="shared" si="19"/>
        <v/>
      </c>
      <c r="D65" s="95">
        <v>7</v>
      </c>
      <c r="E65" s="96" t="str">
        <f>BUNDESLIGA!F78&amp;IF(OR(BUNDESLIGA!G78="",BUNDESLIGA!H78=""),"",IF(BUNDESLIGA!G78&gt;BUNDESLIGA!H78,"",IF(BUNDESLIGA!G78&lt;BUNDESLIGA!H78,"","")))</f>
        <v>SC Paderborn 07</v>
      </c>
      <c r="F65" s="96" t="str">
        <f>BUNDESLIGA!I78&amp;IF(OR(BUNDESLIGA!G78="",BUNDESLIGA!H78=""),"",IF(BUNDESLIGA!G78&lt;BUNDESLIGA!H78,"",IF(BUNDESLIGA!G78&gt;BUNDESLIGA!H78,"","")))</f>
        <v>1. FSV Mainz 05</v>
      </c>
      <c r="G65" s="96" t="str">
        <f>IF(BUNDESLIGA!G78&lt;&gt;"",BUNDESLIGA!G78&amp;" - "&amp;BUNDESLIGA!H78,"")</f>
        <v>1 - 2</v>
      </c>
      <c r="H65" s="96" t="str">
        <f t="shared" si="17"/>
        <v>SC Paderborn 07-1. FSV Mainz 05</v>
      </c>
      <c r="I65" s="96" t="str">
        <f t="shared" si="1"/>
        <v>1</v>
      </c>
      <c r="J65" s="97" t="str">
        <f t="shared" si="2"/>
        <v>2</v>
      </c>
      <c r="L65" s="67">
        <f t="shared" si="20"/>
        <v>0</v>
      </c>
      <c r="M65" s="67">
        <f t="shared" si="21"/>
        <v>3</v>
      </c>
      <c r="O65" s="67" t="str">
        <f t="shared" si="5"/>
        <v/>
      </c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105"/>
    </row>
    <row r="66" spans="3:42" x14ac:dyDescent="0.25">
      <c r="C66" s="94" t="str">
        <f t="shared" si="19"/>
        <v/>
      </c>
      <c r="D66" s="95">
        <v>8</v>
      </c>
      <c r="E66" s="96" t="str">
        <f>BUNDESLIGA!F81&amp;IF(OR(BUNDESLIGA!G81="",BUNDESLIGA!H81=""),"",IF(BUNDESLIGA!G81&gt;BUNDESLIGA!H81,"",IF(BUNDESLIGA!G81&lt;BUNDESLIGA!H81,"","")))</f>
        <v>Borussia Dortmund</v>
      </c>
      <c r="F66" s="96" t="str">
        <f>BUNDESLIGA!I81&amp;IF(OR(BUNDESLIGA!G81="",BUNDESLIGA!H81=""),"",IF(BUNDESLIGA!G81&lt;BUNDESLIGA!H81,"",IF(BUNDESLIGA!G81&gt;BUNDESLIGA!H81,"","")))</f>
        <v>Bor. Mönchengladbach</v>
      </c>
      <c r="G66" s="96" t="str">
        <f>IF(BUNDESLIGA!G81&lt;&gt;"",BUNDESLIGA!G81&amp;" - "&amp;BUNDESLIGA!H81,"")</f>
        <v>1 - 0</v>
      </c>
      <c r="H66" s="96" t="str">
        <f t="shared" si="17"/>
        <v>Borussia Dortmund-Bor. Mönchengladbach</v>
      </c>
      <c r="I66" s="96" t="str">
        <f t="shared" si="1"/>
        <v>1</v>
      </c>
      <c r="J66" s="97" t="str">
        <f t="shared" si="2"/>
        <v>0</v>
      </c>
      <c r="L66" s="67">
        <f t="shared" si="20"/>
        <v>3</v>
      </c>
      <c r="M66" s="67">
        <f t="shared" si="21"/>
        <v>0</v>
      </c>
      <c r="O66" s="67" t="str">
        <f t="shared" si="5"/>
        <v/>
      </c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105"/>
    </row>
    <row r="67" spans="3:42" x14ac:dyDescent="0.25">
      <c r="C67" s="94" t="str">
        <f t="shared" ref="C67:C130" si="22">IF(E67=$Q$2,D67,IF(F67=$Q$2,D67,""))</f>
        <v/>
      </c>
      <c r="D67" s="95">
        <v>8</v>
      </c>
      <c r="E67" s="96" t="str">
        <f>BUNDESLIGA!F82&amp;IF(OR(BUNDESLIGA!G82="",BUNDESLIGA!H82=""),"",IF(BUNDESLIGA!G82&gt;BUNDESLIGA!H82,"",IF(BUNDESLIGA!G82&lt;BUNDESLIGA!H82,"","")))</f>
        <v>RB Leipzig</v>
      </c>
      <c r="F67" s="96" t="str">
        <f>BUNDESLIGA!I82&amp;IF(OR(BUNDESLIGA!G82="",BUNDESLIGA!H82=""),"",IF(BUNDESLIGA!G82&lt;BUNDESLIGA!H82,"",IF(BUNDESLIGA!G82&gt;BUNDESLIGA!H82,"","")))</f>
        <v>VfL Wolfsburg</v>
      </c>
      <c r="G67" s="96" t="str">
        <f>IF(BUNDESLIGA!G82&lt;&gt;"",BUNDESLIGA!G82&amp;" - "&amp;BUNDESLIGA!H82,"")</f>
        <v>1 - 1</v>
      </c>
      <c r="H67" s="96" t="str">
        <f t="shared" si="17"/>
        <v>RB Leipzig-VfL Wolfsburg</v>
      </c>
      <c r="I67" s="96" t="str">
        <f t="shared" ref="I67:I130" si="23">LEFT(G67,1)</f>
        <v>1</v>
      </c>
      <c r="J67" s="97" t="str">
        <f t="shared" ref="J67:J130" si="24">RIGHT(G67,1)</f>
        <v>1</v>
      </c>
      <c r="L67" s="67">
        <f t="shared" ref="L67:L130" si="25">IF(I67="","",IF(I67&gt;J67,3,IF(I67=J67,1,0)))</f>
        <v>1</v>
      </c>
      <c r="M67" s="67">
        <f t="shared" ref="M67:M130" si="26">IF(J67="","",IF(J67&gt;I67,3,IF(J67=I67,1,0)))</f>
        <v>1</v>
      </c>
      <c r="O67" s="67" t="str">
        <f t="shared" ref="O67:O130" si="27">IF(AND($I67&lt;&gt;"",ISNUMBER(SEARCH("-"&amp;$Q$2,$H67))+ISNUMBER(SEARCH($Q$2&amp;"-",$H67))),ROW(),"")</f>
        <v/>
      </c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105"/>
    </row>
    <row r="68" spans="3:42" x14ac:dyDescent="0.25">
      <c r="C68" s="94" t="str">
        <f t="shared" si="22"/>
        <v/>
      </c>
      <c r="D68" s="95">
        <v>8</v>
      </c>
      <c r="E68" s="96" t="str">
        <f>BUNDESLIGA!F83&amp;IF(OR(BUNDESLIGA!G83="",BUNDESLIGA!H83=""),"",IF(BUNDESLIGA!G83&gt;BUNDESLIGA!H83,"",IF(BUNDESLIGA!G83&lt;BUNDESLIGA!H83,"","")))</f>
        <v>Eintracht Frankfurt</v>
      </c>
      <c r="F68" s="96" t="str">
        <f>BUNDESLIGA!I83&amp;IF(OR(BUNDESLIGA!G83="",BUNDESLIGA!H83=""),"",IF(BUNDESLIGA!G83&lt;BUNDESLIGA!H83,"",IF(BUNDESLIGA!G83&gt;BUNDESLIGA!H83,"","")))</f>
        <v>Bayer Leverkusen</v>
      </c>
      <c r="G68" s="96" t="str">
        <f>IF(BUNDESLIGA!G83&lt;&gt;"",BUNDESLIGA!G83&amp;" - "&amp;BUNDESLIGA!H83,"")</f>
        <v>3 - 0</v>
      </c>
      <c r="H68" s="96" t="str">
        <f t="shared" si="17"/>
        <v>Eintracht Frankfurt-Bayer Leverkusen</v>
      </c>
      <c r="I68" s="96" t="str">
        <f t="shared" si="23"/>
        <v>3</v>
      </c>
      <c r="J68" s="97" t="str">
        <f t="shared" si="24"/>
        <v>0</v>
      </c>
      <c r="L68" s="67">
        <f t="shared" si="25"/>
        <v>3</v>
      </c>
      <c r="M68" s="67">
        <f t="shared" si="26"/>
        <v>0</v>
      </c>
      <c r="O68" s="67" t="str">
        <f t="shared" si="27"/>
        <v/>
      </c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105"/>
    </row>
    <row r="69" spans="3:42" x14ac:dyDescent="0.25">
      <c r="C69" s="94" t="str">
        <f t="shared" si="22"/>
        <v/>
      </c>
      <c r="D69" s="95">
        <v>8</v>
      </c>
      <c r="E69" s="96" t="str">
        <f>BUNDESLIGA!F84&amp;IF(OR(BUNDESLIGA!G84="",BUNDESLIGA!H84=""),"",IF(BUNDESLIGA!G84&gt;BUNDESLIGA!H84,"",IF(BUNDESLIGA!G84&lt;BUNDESLIGA!H84,"","")))</f>
        <v>Werder Bremen</v>
      </c>
      <c r="F69" s="96" t="str">
        <f>BUNDESLIGA!I84&amp;IF(OR(BUNDESLIGA!G84="",BUNDESLIGA!H84=""),"",IF(BUNDESLIGA!G84&lt;BUNDESLIGA!H84,"",IF(BUNDESLIGA!G84&gt;BUNDESLIGA!H84,"","")))</f>
        <v>Hertha BSC</v>
      </c>
      <c r="G69" s="96" t="str">
        <f>IF(BUNDESLIGA!G84&lt;&gt;"",BUNDESLIGA!G84&amp;" - "&amp;BUNDESLIGA!H84,"")</f>
        <v>1 - 1</v>
      </c>
      <c r="H69" s="96" t="str">
        <f t="shared" ref="H69:H132" si="28">(E69&amp;"-"&amp;F69)</f>
        <v>Werder Bremen-Hertha BSC</v>
      </c>
      <c r="I69" s="96" t="str">
        <f t="shared" si="23"/>
        <v>1</v>
      </c>
      <c r="J69" s="97" t="str">
        <f t="shared" si="24"/>
        <v>1</v>
      </c>
      <c r="L69" s="67">
        <f t="shared" si="25"/>
        <v>1</v>
      </c>
      <c r="M69" s="67">
        <f t="shared" si="26"/>
        <v>1</v>
      </c>
      <c r="O69" s="67" t="str">
        <f t="shared" si="27"/>
        <v/>
      </c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105"/>
    </row>
    <row r="70" spans="3:42" x14ac:dyDescent="0.25">
      <c r="C70" s="94" t="str">
        <f t="shared" si="22"/>
        <v/>
      </c>
      <c r="D70" s="95">
        <v>8</v>
      </c>
      <c r="E70" s="96" t="str">
        <f>BUNDESLIGA!F85&amp;IF(OR(BUNDESLIGA!G85="",BUNDESLIGA!H85=""),"",IF(BUNDESLIGA!G85&gt;BUNDESLIGA!H85,"",IF(BUNDESLIGA!G85&lt;BUNDESLIGA!H85,"","")))</f>
        <v>1899 Hoffenheim</v>
      </c>
      <c r="F70" s="96" t="str">
        <f>BUNDESLIGA!I85&amp;IF(OR(BUNDESLIGA!G85="",BUNDESLIGA!H85=""),"",IF(BUNDESLIGA!G85&lt;BUNDESLIGA!H85,"",IF(BUNDESLIGA!G85&gt;BUNDESLIGA!H85,"","")))</f>
        <v>FC Schalke 04</v>
      </c>
      <c r="G70" s="96" t="str">
        <f>IF(BUNDESLIGA!G85&lt;&gt;"",BUNDESLIGA!G85&amp;" - "&amp;BUNDESLIGA!H85,"")</f>
        <v>2 - 0</v>
      </c>
      <c r="H70" s="96" t="str">
        <f t="shared" si="28"/>
        <v>1899 Hoffenheim-FC Schalke 04</v>
      </c>
      <c r="I70" s="96" t="str">
        <f t="shared" si="23"/>
        <v>2</v>
      </c>
      <c r="J70" s="97" t="str">
        <f t="shared" si="24"/>
        <v>0</v>
      </c>
      <c r="L70" s="67">
        <f t="shared" si="25"/>
        <v>3</v>
      </c>
      <c r="M70" s="67">
        <f t="shared" si="26"/>
        <v>0</v>
      </c>
      <c r="O70" s="67" t="str">
        <f t="shared" si="27"/>
        <v/>
      </c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105"/>
    </row>
    <row r="71" spans="3:42" x14ac:dyDescent="0.25">
      <c r="C71" s="94" t="str">
        <f t="shared" si="22"/>
        <v/>
      </c>
      <c r="D71" s="95">
        <v>8</v>
      </c>
      <c r="E71" s="96" t="str">
        <f>BUNDESLIGA!F86&amp;IF(OR(BUNDESLIGA!G86="",BUNDESLIGA!H86=""),"",IF(BUNDESLIGA!G86&gt;BUNDESLIGA!H86,"",IF(BUNDESLIGA!G86&lt;BUNDESLIGA!H86,"","")))</f>
        <v>Fortuna Düsseldorf</v>
      </c>
      <c r="F71" s="96" t="str">
        <f>BUNDESLIGA!I86&amp;IF(OR(BUNDESLIGA!G86="",BUNDESLIGA!H86=""),"",IF(BUNDESLIGA!G86&lt;BUNDESLIGA!H86,"",IF(BUNDESLIGA!G86&gt;BUNDESLIGA!H86,"","")))</f>
        <v>1. FSV Mainz 05</v>
      </c>
      <c r="G71" s="96" t="str">
        <f>IF(BUNDESLIGA!G86&lt;&gt;"",BUNDESLIGA!G86&amp;" - "&amp;BUNDESLIGA!H86,"")</f>
        <v>1 - 0</v>
      </c>
      <c r="H71" s="96" t="str">
        <f t="shared" si="28"/>
        <v>Fortuna Düsseldorf-1. FSV Mainz 05</v>
      </c>
      <c r="I71" s="96" t="str">
        <f t="shared" si="23"/>
        <v>1</v>
      </c>
      <c r="J71" s="97" t="str">
        <f t="shared" si="24"/>
        <v>0</v>
      </c>
      <c r="L71" s="67">
        <f t="shared" si="25"/>
        <v>3</v>
      </c>
      <c r="M71" s="67">
        <f t="shared" si="26"/>
        <v>0</v>
      </c>
      <c r="O71" s="67" t="str">
        <f t="shared" si="27"/>
        <v/>
      </c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105"/>
    </row>
    <row r="72" spans="3:42" x14ac:dyDescent="0.25">
      <c r="C72" s="94">
        <f t="shared" si="22"/>
        <v>8</v>
      </c>
      <c r="D72" s="95">
        <v>8</v>
      </c>
      <c r="E72" s="96" t="str">
        <f>BUNDESLIGA!F87&amp;IF(OR(BUNDESLIGA!G87="",BUNDESLIGA!H87=""),"",IF(BUNDESLIGA!G87&gt;BUNDESLIGA!H87,"",IF(BUNDESLIGA!G87&lt;BUNDESLIGA!H87,"","")))</f>
        <v>FC Augsburg</v>
      </c>
      <c r="F72" s="96" t="str">
        <f>BUNDESLIGA!I87&amp;IF(OR(BUNDESLIGA!G87="",BUNDESLIGA!H87=""),"",IF(BUNDESLIGA!G87&lt;BUNDESLIGA!H87,"",IF(BUNDESLIGA!G87&gt;BUNDESLIGA!H87,"","")))</f>
        <v>Bayern München</v>
      </c>
      <c r="G72" s="96" t="str">
        <f>IF(BUNDESLIGA!G87&lt;&gt;"",BUNDESLIGA!G87&amp;" - "&amp;BUNDESLIGA!H87,"")</f>
        <v>2 - 2</v>
      </c>
      <c r="H72" s="96" t="str">
        <f t="shared" si="28"/>
        <v>FC Augsburg-Bayern München</v>
      </c>
      <c r="I72" s="96" t="str">
        <f t="shared" si="23"/>
        <v>2</v>
      </c>
      <c r="J72" s="97" t="str">
        <f t="shared" si="24"/>
        <v>2</v>
      </c>
      <c r="L72" s="67">
        <f t="shared" si="25"/>
        <v>1</v>
      </c>
      <c r="M72" s="67">
        <f t="shared" si="26"/>
        <v>1</v>
      </c>
      <c r="O72" s="67">
        <f t="shared" si="27"/>
        <v>72</v>
      </c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105"/>
    </row>
    <row r="73" spans="3:42" x14ac:dyDescent="0.25">
      <c r="C73" s="94" t="str">
        <f t="shared" si="22"/>
        <v/>
      </c>
      <c r="D73" s="95">
        <v>8</v>
      </c>
      <c r="E73" s="96" t="str">
        <f>BUNDESLIGA!F88&amp;IF(OR(BUNDESLIGA!G88="",BUNDESLIGA!H88=""),"",IF(BUNDESLIGA!G88&gt;BUNDESLIGA!H88,"",IF(BUNDESLIGA!G88&lt;BUNDESLIGA!H88,"","")))</f>
        <v>1. FC Köln</v>
      </c>
      <c r="F73" s="96" t="str">
        <f>BUNDESLIGA!I88&amp;IF(OR(BUNDESLIGA!G88="",BUNDESLIGA!H88=""),"",IF(BUNDESLIGA!G88&lt;BUNDESLIGA!H88,"",IF(BUNDESLIGA!G88&gt;BUNDESLIGA!H88,"","")))</f>
        <v>SC Paderborn 07</v>
      </c>
      <c r="G73" s="96" t="str">
        <f>IF(BUNDESLIGA!G88&lt;&gt;"",BUNDESLIGA!G88&amp;" - "&amp;BUNDESLIGA!H88,"")</f>
        <v>3 - 0</v>
      </c>
      <c r="H73" s="96" t="str">
        <f t="shared" si="28"/>
        <v>1. FC Köln-SC Paderborn 07</v>
      </c>
      <c r="I73" s="96" t="str">
        <f t="shared" si="23"/>
        <v>3</v>
      </c>
      <c r="J73" s="97" t="str">
        <f t="shared" si="24"/>
        <v>0</v>
      </c>
      <c r="L73" s="67">
        <f t="shared" si="25"/>
        <v>3</v>
      </c>
      <c r="M73" s="67">
        <f t="shared" si="26"/>
        <v>0</v>
      </c>
      <c r="O73" s="67" t="str">
        <f t="shared" si="27"/>
        <v/>
      </c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105"/>
    </row>
    <row r="74" spans="3:42" x14ac:dyDescent="0.25">
      <c r="C74" s="94" t="str">
        <f t="shared" si="22"/>
        <v/>
      </c>
      <c r="D74" s="95">
        <v>8</v>
      </c>
      <c r="E74" s="96" t="str">
        <f>BUNDESLIGA!F89&amp;IF(OR(BUNDESLIGA!G89="",BUNDESLIGA!H89=""),"",IF(BUNDESLIGA!G89&gt;BUNDESLIGA!H89,"",IF(BUNDESLIGA!G89&lt;BUNDESLIGA!H89,"","")))</f>
        <v>1. FC Union Berlin</v>
      </c>
      <c r="F74" s="96" t="str">
        <f>BUNDESLIGA!I89&amp;IF(OR(BUNDESLIGA!G89="",BUNDESLIGA!H89=""),"",IF(BUNDESLIGA!G89&lt;BUNDESLIGA!H89,"",IF(BUNDESLIGA!G89&gt;BUNDESLIGA!H89,"","")))</f>
        <v>SC Freiburg</v>
      </c>
      <c r="G74" s="96" t="str">
        <f>IF(BUNDESLIGA!G89&lt;&gt;"",BUNDESLIGA!G89&amp;" - "&amp;BUNDESLIGA!H89,"")</f>
        <v>2 - 0</v>
      </c>
      <c r="H74" s="96" t="str">
        <f t="shared" si="28"/>
        <v>1. FC Union Berlin-SC Freiburg</v>
      </c>
      <c r="I74" s="96" t="str">
        <f t="shared" si="23"/>
        <v>2</v>
      </c>
      <c r="J74" s="97" t="str">
        <f t="shared" si="24"/>
        <v>0</v>
      </c>
      <c r="L74" s="67">
        <f t="shared" si="25"/>
        <v>3</v>
      </c>
      <c r="M74" s="67">
        <f t="shared" si="26"/>
        <v>0</v>
      </c>
      <c r="O74" s="67" t="str">
        <f t="shared" si="27"/>
        <v/>
      </c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105"/>
    </row>
    <row r="75" spans="3:42" x14ac:dyDescent="0.25">
      <c r="C75" s="94" t="str">
        <f t="shared" si="22"/>
        <v/>
      </c>
      <c r="D75" s="95">
        <v>9</v>
      </c>
      <c r="E75" s="96" t="str">
        <f>BUNDESLIGA!F92&amp;IF(OR(BUNDESLIGA!G92="",BUNDESLIGA!H92=""),"",IF(BUNDESLIGA!G92&gt;BUNDESLIGA!H92,"",IF(BUNDESLIGA!G92&lt;BUNDESLIGA!H92,"","")))</f>
        <v>Bayern München</v>
      </c>
      <c r="F75" s="96" t="str">
        <f>BUNDESLIGA!I92&amp;IF(OR(BUNDESLIGA!G92="",BUNDESLIGA!H92=""),"",IF(BUNDESLIGA!G92&lt;BUNDESLIGA!H92,"",IF(BUNDESLIGA!G92&gt;BUNDESLIGA!H92,"","")))</f>
        <v>1. FC Union Berlin</v>
      </c>
      <c r="G75" s="96" t="str">
        <f>IF(BUNDESLIGA!G92&lt;&gt;"",BUNDESLIGA!G92&amp;" - "&amp;BUNDESLIGA!H92,"")</f>
        <v>2 - 1</v>
      </c>
      <c r="H75" s="96" t="str">
        <f t="shared" si="28"/>
        <v>Bayern München-1. FC Union Berlin</v>
      </c>
      <c r="I75" s="96" t="str">
        <f t="shared" si="23"/>
        <v>2</v>
      </c>
      <c r="J75" s="97" t="str">
        <f t="shared" si="24"/>
        <v>1</v>
      </c>
      <c r="L75" s="67">
        <f t="shared" si="25"/>
        <v>3</v>
      </c>
      <c r="M75" s="67">
        <f t="shared" si="26"/>
        <v>0</v>
      </c>
      <c r="O75" s="67" t="str">
        <f t="shared" si="27"/>
        <v/>
      </c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105"/>
    </row>
    <row r="76" spans="3:42" x14ac:dyDescent="0.25">
      <c r="C76" s="94" t="str">
        <f t="shared" si="22"/>
        <v/>
      </c>
      <c r="D76" s="95">
        <v>9</v>
      </c>
      <c r="E76" s="96" t="str">
        <f>BUNDESLIGA!F93&amp;IF(OR(BUNDESLIGA!G93="",BUNDESLIGA!H93=""),"",IF(BUNDESLIGA!G93&gt;BUNDESLIGA!H93,"",IF(BUNDESLIGA!G93&lt;BUNDESLIGA!H93,"","")))</f>
        <v>Bayer Leverkusen</v>
      </c>
      <c r="F76" s="96" t="str">
        <f>BUNDESLIGA!I93&amp;IF(OR(BUNDESLIGA!G93="",BUNDESLIGA!H93=""),"",IF(BUNDESLIGA!G93&lt;BUNDESLIGA!H93,"",IF(BUNDESLIGA!G93&gt;BUNDESLIGA!H93,"","")))</f>
        <v>Werder Bremen</v>
      </c>
      <c r="G76" s="96" t="str">
        <f>IF(BUNDESLIGA!G93&lt;&gt;"",BUNDESLIGA!G93&amp;" - "&amp;BUNDESLIGA!H93,"")</f>
        <v>2 - 2</v>
      </c>
      <c r="H76" s="96" t="str">
        <f t="shared" si="28"/>
        <v>Bayer Leverkusen-Werder Bremen</v>
      </c>
      <c r="I76" s="96" t="str">
        <f t="shared" si="23"/>
        <v>2</v>
      </c>
      <c r="J76" s="97" t="str">
        <f t="shared" si="24"/>
        <v>2</v>
      </c>
      <c r="L76" s="67">
        <f t="shared" si="25"/>
        <v>1</v>
      </c>
      <c r="M76" s="67">
        <f t="shared" si="26"/>
        <v>1</v>
      </c>
      <c r="O76" s="67" t="str">
        <f t="shared" si="27"/>
        <v/>
      </c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105"/>
    </row>
    <row r="77" spans="3:42" x14ac:dyDescent="0.25">
      <c r="C77" s="94" t="str">
        <f t="shared" si="22"/>
        <v/>
      </c>
      <c r="D77" s="95">
        <v>9</v>
      </c>
      <c r="E77" s="96" t="str">
        <f>BUNDESLIGA!F94&amp;IF(OR(BUNDESLIGA!G94="",BUNDESLIGA!H94=""),"",IF(BUNDESLIGA!G94&gt;BUNDESLIGA!H94,"",IF(BUNDESLIGA!G94&lt;BUNDESLIGA!H94,"","")))</f>
        <v>Bor. Mönchengladbach</v>
      </c>
      <c r="F77" s="96" t="str">
        <f>BUNDESLIGA!I94&amp;IF(OR(BUNDESLIGA!G94="",BUNDESLIGA!H94=""),"",IF(BUNDESLIGA!G94&lt;BUNDESLIGA!H94,"",IF(BUNDESLIGA!G94&gt;BUNDESLIGA!H94,"","")))</f>
        <v>Eintracht Frankfurt</v>
      </c>
      <c r="G77" s="96" t="str">
        <f>IF(BUNDESLIGA!G94&lt;&gt;"",BUNDESLIGA!G94&amp;" - "&amp;BUNDESLIGA!H94,"")</f>
        <v>4 - 2</v>
      </c>
      <c r="H77" s="96" t="str">
        <f t="shared" si="28"/>
        <v>Bor. Mönchengladbach-Eintracht Frankfurt</v>
      </c>
      <c r="I77" s="96" t="str">
        <f t="shared" si="23"/>
        <v>4</v>
      </c>
      <c r="J77" s="97" t="str">
        <f t="shared" si="24"/>
        <v>2</v>
      </c>
      <c r="L77" s="67">
        <f t="shared" si="25"/>
        <v>3</v>
      </c>
      <c r="M77" s="67">
        <f t="shared" si="26"/>
        <v>0</v>
      </c>
      <c r="O77" s="67" t="str">
        <f t="shared" si="27"/>
        <v/>
      </c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105"/>
    </row>
    <row r="78" spans="3:42" x14ac:dyDescent="0.25">
      <c r="C78" s="94">
        <f t="shared" si="22"/>
        <v>9</v>
      </c>
      <c r="D78" s="95">
        <v>9</v>
      </c>
      <c r="E78" s="96" t="str">
        <f>BUNDESLIGA!F95&amp;IF(OR(BUNDESLIGA!G95="",BUNDESLIGA!H95=""),"",IF(BUNDESLIGA!G95&gt;BUNDESLIGA!H95,"",IF(BUNDESLIGA!G95&lt;BUNDESLIGA!H95,"","")))</f>
        <v>VfL Wolfsburg</v>
      </c>
      <c r="F78" s="96" t="str">
        <f>BUNDESLIGA!I95&amp;IF(OR(BUNDESLIGA!G95="",BUNDESLIGA!H95=""),"",IF(BUNDESLIGA!G95&lt;BUNDESLIGA!H95,"",IF(BUNDESLIGA!G95&gt;BUNDESLIGA!H95,"","")))</f>
        <v>FC Augsburg</v>
      </c>
      <c r="G78" s="96" t="str">
        <f>IF(BUNDESLIGA!G95&lt;&gt;"",BUNDESLIGA!G95&amp;" - "&amp;BUNDESLIGA!H95,"")</f>
        <v>0 - 0</v>
      </c>
      <c r="H78" s="96" t="str">
        <f t="shared" si="28"/>
        <v>VfL Wolfsburg-FC Augsburg</v>
      </c>
      <c r="I78" s="96" t="str">
        <f t="shared" si="23"/>
        <v>0</v>
      </c>
      <c r="J78" s="97" t="str">
        <f t="shared" si="24"/>
        <v>0</v>
      </c>
      <c r="L78" s="67">
        <f t="shared" si="25"/>
        <v>1</v>
      </c>
      <c r="M78" s="67">
        <f t="shared" si="26"/>
        <v>1</v>
      </c>
      <c r="O78" s="67">
        <f t="shared" si="27"/>
        <v>78</v>
      </c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105"/>
    </row>
    <row r="79" spans="3:42" x14ac:dyDescent="0.25">
      <c r="C79" s="94" t="str">
        <f t="shared" si="22"/>
        <v/>
      </c>
      <c r="D79" s="95">
        <v>9</v>
      </c>
      <c r="E79" s="96" t="str">
        <f>BUNDESLIGA!F96&amp;IF(OR(BUNDESLIGA!G96="",BUNDESLIGA!H96=""),"",IF(BUNDESLIGA!G96&gt;BUNDESLIGA!H96,"",IF(BUNDESLIGA!G96&lt;BUNDESLIGA!H96,"","")))</f>
        <v>Hertha BSC</v>
      </c>
      <c r="F79" s="96" t="str">
        <f>BUNDESLIGA!I96&amp;IF(OR(BUNDESLIGA!G96="",BUNDESLIGA!H96=""),"",IF(BUNDESLIGA!G96&lt;BUNDESLIGA!H96,"",IF(BUNDESLIGA!G96&gt;BUNDESLIGA!H96,"","")))</f>
        <v>1899 Hoffenheim</v>
      </c>
      <c r="G79" s="96" t="str">
        <f>IF(BUNDESLIGA!G96&lt;&gt;"",BUNDESLIGA!G96&amp;" - "&amp;BUNDESLIGA!H96,"")</f>
        <v>2 - 3</v>
      </c>
      <c r="H79" s="96" t="str">
        <f t="shared" si="28"/>
        <v>Hertha BSC-1899 Hoffenheim</v>
      </c>
      <c r="I79" s="96" t="str">
        <f t="shared" si="23"/>
        <v>2</v>
      </c>
      <c r="J79" s="97" t="str">
        <f t="shared" si="24"/>
        <v>3</v>
      </c>
      <c r="L79" s="67">
        <f t="shared" si="25"/>
        <v>0</v>
      </c>
      <c r="M79" s="67">
        <f t="shared" si="26"/>
        <v>3</v>
      </c>
      <c r="O79" s="67" t="str">
        <f t="shared" si="27"/>
        <v/>
      </c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105"/>
    </row>
    <row r="80" spans="3:42" x14ac:dyDescent="0.25">
      <c r="C80" s="94" t="str">
        <f t="shared" si="22"/>
        <v/>
      </c>
      <c r="D80" s="95">
        <v>9</v>
      </c>
      <c r="E80" s="96" t="str">
        <f>BUNDESLIGA!F97&amp;IF(OR(BUNDESLIGA!G97="",BUNDESLIGA!H97=""),"",IF(BUNDESLIGA!G97&gt;BUNDESLIGA!H97,"",IF(BUNDESLIGA!G97&lt;BUNDESLIGA!H97,"","")))</f>
        <v>1. FSV Mainz 05</v>
      </c>
      <c r="F80" s="96" t="str">
        <f>BUNDESLIGA!I97&amp;IF(OR(BUNDESLIGA!G97="",BUNDESLIGA!H97=""),"",IF(BUNDESLIGA!G97&lt;BUNDESLIGA!H97,"",IF(BUNDESLIGA!G97&gt;BUNDESLIGA!H97,"","")))</f>
        <v>1. FC Köln</v>
      </c>
      <c r="G80" s="96" t="str">
        <f>IF(BUNDESLIGA!G97&lt;&gt;"",BUNDESLIGA!G97&amp;" - "&amp;BUNDESLIGA!H97,"")</f>
        <v>3 - 1</v>
      </c>
      <c r="H80" s="96" t="str">
        <f t="shared" si="28"/>
        <v>1. FSV Mainz 05-1. FC Köln</v>
      </c>
      <c r="I80" s="96" t="str">
        <f t="shared" si="23"/>
        <v>3</v>
      </c>
      <c r="J80" s="97" t="str">
        <f t="shared" si="24"/>
        <v>1</v>
      </c>
      <c r="L80" s="67">
        <f t="shared" si="25"/>
        <v>3</v>
      </c>
      <c r="M80" s="67">
        <f t="shared" si="26"/>
        <v>0</v>
      </c>
      <c r="O80" s="67" t="str">
        <f t="shared" si="27"/>
        <v/>
      </c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105"/>
    </row>
    <row r="81" spans="3:42" x14ac:dyDescent="0.25">
      <c r="C81" s="94" t="str">
        <f t="shared" si="22"/>
        <v/>
      </c>
      <c r="D81" s="95">
        <v>9</v>
      </c>
      <c r="E81" s="96" t="str">
        <f>BUNDESLIGA!F98&amp;IF(OR(BUNDESLIGA!G98="",BUNDESLIGA!H98=""),"",IF(BUNDESLIGA!G98&gt;BUNDESLIGA!H98,"",IF(BUNDESLIGA!G98&lt;BUNDESLIGA!H98,"","")))</f>
        <v>SC Freiburg</v>
      </c>
      <c r="F81" s="96" t="str">
        <f>BUNDESLIGA!I98&amp;IF(OR(BUNDESLIGA!G98="",BUNDESLIGA!H98=""),"",IF(BUNDESLIGA!G98&lt;BUNDESLIGA!H98,"",IF(BUNDESLIGA!G98&gt;BUNDESLIGA!H98,"","")))</f>
        <v>RB Leipzig</v>
      </c>
      <c r="G81" s="96" t="str">
        <f>IF(BUNDESLIGA!G98&lt;&gt;"",BUNDESLIGA!G98&amp;" - "&amp;BUNDESLIGA!H98,"")</f>
        <v>2 - 1</v>
      </c>
      <c r="H81" s="96" t="str">
        <f t="shared" si="28"/>
        <v>SC Freiburg-RB Leipzig</v>
      </c>
      <c r="I81" s="96" t="str">
        <f t="shared" si="23"/>
        <v>2</v>
      </c>
      <c r="J81" s="97" t="str">
        <f t="shared" si="24"/>
        <v>1</v>
      </c>
      <c r="L81" s="67">
        <f t="shared" si="25"/>
        <v>3</v>
      </c>
      <c r="M81" s="67">
        <f t="shared" si="26"/>
        <v>0</v>
      </c>
      <c r="O81" s="67" t="str">
        <f t="shared" si="27"/>
        <v/>
      </c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105"/>
    </row>
    <row r="82" spans="3:42" x14ac:dyDescent="0.25">
      <c r="C82" s="94" t="str">
        <f t="shared" si="22"/>
        <v/>
      </c>
      <c r="D82" s="95">
        <v>9</v>
      </c>
      <c r="E82" s="96" t="str">
        <f>BUNDESLIGA!F99&amp;IF(OR(BUNDESLIGA!G99="",BUNDESLIGA!H99=""),"",IF(BUNDESLIGA!G99&gt;BUNDESLIGA!H99,"",IF(BUNDESLIGA!G99&lt;BUNDESLIGA!H99,"","")))</f>
        <v>FC Schalke 04</v>
      </c>
      <c r="F82" s="96" t="str">
        <f>BUNDESLIGA!I99&amp;IF(OR(BUNDESLIGA!G99="",BUNDESLIGA!H99=""),"",IF(BUNDESLIGA!G99&lt;BUNDESLIGA!H99,"",IF(BUNDESLIGA!G99&gt;BUNDESLIGA!H99,"","")))</f>
        <v>Borussia Dortmund</v>
      </c>
      <c r="G82" s="96" t="str">
        <f>IF(BUNDESLIGA!G99&lt;&gt;"",BUNDESLIGA!G99&amp;" - "&amp;BUNDESLIGA!H99,"")</f>
        <v>0 - 0</v>
      </c>
      <c r="H82" s="96" t="str">
        <f t="shared" si="28"/>
        <v>FC Schalke 04-Borussia Dortmund</v>
      </c>
      <c r="I82" s="96" t="str">
        <f t="shared" si="23"/>
        <v>0</v>
      </c>
      <c r="J82" s="97" t="str">
        <f t="shared" si="24"/>
        <v>0</v>
      </c>
      <c r="L82" s="67">
        <f t="shared" si="25"/>
        <v>1</v>
      </c>
      <c r="M82" s="67">
        <f t="shared" si="26"/>
        <v>1</v>
      </c>
      <c r="O82" s="67" t="str">
        <f t="shared" si="27"/>
        <v/>
      </c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105"/>
    </row>
    <row r="83" spans="3:42" x14ac:dyDescent="0.25">
      <c r="C83" s="94" t="str">
        <f t="shared" si="22"/>
        <v/>
      </c>
      <c r="D83" s="95">
        <v>9</v>
      </c>
      <c r="E83" s="96" t="str">
        <f>BUNDESLIGA!F100&amp;IF(OR(BUNDESLIGA!G100="",BUNDESLIGA!H100=""),"",IF(BUNDESLIGA!G100&gt;BUNDESLIGA!H100,"",IF(BUNDESLIGA!G100&lt;BUNDESLIGA!H100,"","")))</f>
        <v>SC Paderborn 07</v>
      </c>
      <c r="F83" s="96" t="str">
        <f>BUNDESLIGA!I100&amp;IF(OR(BUNDESLIGA!G100="",BUNDESLIGA!H100=""),"",IF(BUNDESLIGA!G100&lt;BUNDESLIGA!H100,"",IF(BUNDESLIGA!G100&gt;BUNDESLIGA!H100,"","")))</f>
        <v>Fortuna Düsseldorf</v>
      </c>
      <c r="G83" s="96" t="str">
        <f>IF(BUNDESLIGA!G100&lt;&gt;"",BUNDESLIGA!G100&amp;" - "&amp;BUNDESLIGA!H100,"")</f>
        <v>2 - 0</v>
      </c>
      <c r="H83" s="96" t="str">
        <f t="shared" si="28"/>
        <v>SC Paderborn 07-Fortuna Düsseldorf</v>
      </c>
      <c r="I83" s="96" t="str">
        <f t="shared" si="23"/>
        <v>2</v>
      </c>
      <c r="J83" s="97" t="str">
        <f t="shared" si="24"/>
        <v>0</v>
      </c>
      <c r="L83" s="67">
        <f t="shared" si="25"/>
        <v>3</v>
      </c>
      <c r="M83" s="67">
        <f t="shared" si="26"/>
        <v>0</v>
      </c>
      <c r="O83" s="67" t="str">
        <f t="shared" si="27"/>
        <v/>
      </c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105"/>
    </row>
    <row r="84" spans="3:42" x14ac:dyDescent="0.25">
      <c r="C84" s="94" t="str">
        <f t="shared" si="22"/>
        <v/>
      </c>
      <c r="D84" s="95">
        <v>10</v>
      </c>
      <c r="E84" s="96" t="str">
        <f>BUNDESLIGA!F103&amp;IF(OR(BUNDESLIGA!G103="",BUNDESLIGA!H103=""),"",IF(BUNDESLIGA!G103&gt;BUNDESLIGA!H103,"",IF(BUNDESLIGA!G103&lt;BUNDESLIGA!H103,"","")))</f>
        <v>Borussia Dortmund</v>
      </c>
      <c r="F84" s="96" t="str">
        <f>BUNDESLIGA!I103&amp;IF(OR(BUNDESLIGA!G103="",BUNDESLIGA!H103=""),"",IF(BUNDESLIGA!G103&lt;BUNDESLIGA!H103,"",IF(BUNDESLIGA!G103&gt;BUNDESLIGA!H103,"","")))</f>
        <v>VfL Wolfsburg</v>
      </c>
      <c r="G84" s="96" t="str">
        <f>IF(BUNDESLIGA!G103&lt;&gt;"",BUNDESLIGA!G103&amp;" - "&amp;BUNDESLIGA!H103,"")</f>
        <v>3 - 0</v>
      </c>
      <c r="H84" s="96" t="str">
        <f t="shared" si="28"/>
        <v>Borussia Dortmund-VfL Wolfsburg</v>
      </c>
      <c r="I84" s="96" t="str">
        <f t="shared" si="23"/>
        <v>3</v>
      </c>
      <c r="J84" s="97" t="str">
        <f t="shared" si="24"/>
        <v>0</v>
      </c>
      <c r="L84" s="67">
        <f t="shared" si="25"/>
        <v>3</v>
      </c>
      <c r="M84" s="67">
        <f t="shared" si="26"/>
        <v>0</v>
      </c>
      <c r="O84" s="67" t="str">
        <f t="shared" si="27"/>
        <v/>
      </c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105"/>
    </row>
    <row r="85" spans="3:42" x14ac:dyDescent="0.25">
      <c r="C85" s="94" t="str">
        <f t="shared" si="22"/>
        <v/>
      </c>
      <c r="D85" s="95">
        <v>10</v>
      </c>
      <c r="E85" s="96" t="str">
        <f>BUNDESLIGA!F104&amp;IF(OR(BUNDESLIGA!G104="",BUNDESLIGA!H104=""),"",IF(BUNDESLIGA!G104&gt;BUNDESLIGA!H104,"",IF(BUNDESLIGA!G104&lt;BUNDESLIGA!H104,"","")))</f>
        <v>RB Leipzig</v>
      </c>
      <c r="F85" s="96" t="str">
        <f>BUNDESLIGA!I104&amp;IF(OR(BUNDESLIGA!G104="",BUNDESLIGA!H104=""),"",IF(BUNDESLIGA!G104&lt;BUNDESLIGA!H104,"",IF(BUNDESLIGA!G104&gt;BUNDESLIGA!H104,"","")))</f>
        <v>1. FSV Mainz 05</v>
      </c>
      <c r="G85" s="96" t="str">
        <f>IF(BUNDESLIGA!G104&lt;&gt;"",BUNDESLIGA!G104&amp;" - "&amp;BUNDESLIGA!H104,"")</f>
        <v>8 - 0</v>
      </c>
      <c r="H85" s="96" t="str">
        <f t="shared" si="28"/>
        <v>RB Leipzig-1. FSV Mainz 05</v>
      </c>
      <c r="I85" s="96" t="str">
        <f t="shared" si="23"/>
        <v>8</v>
      </c>
      <c r="J85" s="97" t="str">
        <f t="shared" si="24"/>
        <v>0</v>
      </c>
      <c r="L85" s="67">
        <f t="shared" si="25"/>
        <v>3</v>
      </c>
      <c r="M85" s="67">
        <f t="shared" si="26"/>
        <v>0</v>
      </c>
      <c r="O85" s="67" t="str">
        <f t="shared" si="27"/>
        <v/>
      </c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105"/>
    </row>
    <row r="86" spans="3:42" x14ac:dyDescent="0.25">
      <c r="C86" s="94" t="str">
        <f t="shared" si="22"/>
        <v/>
      </c>
      <c r="D86" s="95">
        <v>10</v>
      </c>
      <c r="E86" s="96" t="str">
        <f>BUNDESLIGA!F105&amp;IF(OR(BUNDESLIGA!G105="",BUNDESLIGA!H105=""),"",IF(BUNDESLIGA!G105&gt;BUNDESLIGA!H105,"",IF(BUNDESLIGA!G105&lt;BUNDESLIGA!H105,"","")))</f>
        <v>Bayer Leverkusen</v>
      </c>
      <c r="F86" s="96" t="str">
        <f>BUNDESLIGA!I105&amp;IF(OR(BUNDESLIGA!G105="",BUNDESLIGA!H105=""),"",IF(BUNDESLIGA!G105&lt;BUNDESLIGA!H105,"",IF(BUNDESLIGA!G105&gt;BUNDESLIGA!H105,"","")))</f>
        <v>Bor. Mönchengladbach</v>
      </c>
      <c r="G86" s="96" t="str">
        <f>IF(BUNDESLIGA!G105&lt;&gt;"",BUNDESLIGA!G105&amp;" - "&amp;BUNDESLIGA!H105,"")</f>
        <v>1 - 2</v>
      </c>
      <c r="H86" s="96" t="str">
        <f t="shared" si="28"/>
        <v>Bayer Leverkusen-Bor. Mönchengladbach</v>
      </c>
      <c r="I86" s="96" t="str">
        <f t="shared" si="23"/>
        <v>1</v>
      </c>
      <c r="J86" s="97" t="str">
        <f t="shared" si="24"/>
        <v>2</v>
      </c>
      <c r="L86" s="67">
        <f t="shared" si="25"/>
        <v>0</v>
      </c>
      <c r="M86" s="67">
        <f t="shared" si="26"/>
        <v>3</v>
      </c>
      <c r="O86" s="67" t="str">
        <f t="shared" si="27"/>
        <v/>
      </c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105"/>
    </row>
    <row r="87" spans="3:42" x14ac:dyDescent="0.25">
      <c r="C87" s="94" t="str">
        <f t="shared" si="22"/>
        <v/>
      </c>
      <c r="D87" s="95">
        <v>10</v>
      </c>
      <c r="E87" s="96" t="str">
        <f>BUNDESLIGA!F106&amp;IF(OR(BUNDESLIGA!G106="",BUNDESLIGA!H106=""),"",IF(BUNDESLIGA!G106&gt;BUNDESLIGA!H106,"",IF(BUNDESLIGA!G106&lt;BUNDESLIGA!H106,"","")))</f>
        <v>Eintracht Frankfurt</v>
      </c>
      <c r="F87" s="96" t="str">
        <f>BUNDESLIGA!I106&amp;IF(OR(BUNDESLIGA!G106="",BUNDESLIGA!H106=""),"",IF(BUNDESLIGA!G106&lt;BUNDESLIGA!H106,"",IF(BUNDESLIGA!G106&gt;BUNDESLIGA!H106,"","")))</f>
        <v>Bayern München</v>
      </c>
      <c r="G87" s="96" t="str">
        <f>IF(BUNDESLIGA!G106&lt;&gt;"",BUNDESLIGA!G106&amp;" - "&amp;BUNDESLIGA!H106,"")</f>
        <v>5 - 1</v>
      </c>
      <c r="H87" s="96" t="str">
        <f t="shared" si="28"/>
        <v>Eintracht Frankfurt-Bayern München</v>
      </c>
      <c r="I87" s="96" t="str">
        <f t="shared" si="23"/>
        <v>5</v>
      </c>
      <c r="J87" s="97" t="str">
        <f t="shared" si="24"/>
        <v>1</v>
      </c>
      <c r="L87" s="67">
        <f t="shared" si="25"/>
        <v>3</v>
      </c>
      <c r="M87" s="67">
        <f t="shared" si="26"/>
        <v>0</v>
      </c>
      <c r="O87" s="67" t="str">
        <f t="shared" si="27"/>
        <v/>
      </c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105"/>
    </row>
    <row r="88" spans="3:42" x14ac:dyDescent="0.25">
      <c r="C88" s="94" t="str">
        <f t="shared" si="22"/>
        <v/>
      </c>
      <c r="D88" s="95">
        <v>10</v>
      </c>
      <c r="E88" s="96" t="str">
        <f>BUNDESLIGA!F107&amp;IF(OR(BUNDESLIGA!G107="",BUNDESLIGA!H107=""),"",IF(BUNDESLIGA!G107&gt;BUNDESLIGA!H107,"",IF(BUNDESLIGA!G107&lt;BUNDESLIGA!H107,"","")))</f>
        <v>Werder Bremen</v>
      </c>
      <c r="F88" s="96" t="str">
        <f>BUNDESLIGA!I107&amp;IF(OR(BUNDESLIGA!G107="",BUNDESLIGA!H107=""),"",IF(BUNDESLIGA!G107&lt;BUNDESLIGA!H107,"",IF(BUNDESLIGA!G107&gt;BUNDESLIGA!H107,"","")))</f>
        <v>SC Freiburg</v>
      </c>
      <c r="G88" s="96" t="str">
        <f>IF(BUNDESLIGA!G107&lt;&gt;"",BUNDESLIGA!G107&amp;" - "&amp;BUNDESLIGA!H107,"")</f>
        <v>2 - 2</v>
      </c>
      <c r="H88" s="96" t="str">
        <f t="shared" si="28"/>
        <v>Werder Bremen-SC Freiburg</v>
      </c>
      <c r="I88" s="96" t="str">
        <f t="shared" si="23"/>
        <v>2</v>
      </c>
      <c r="J88" s="97" t="str">
        <f t="shared" si="24"/>
        <v>2</v>
      </c>
      <c r="L88" s="67">
        <f t="shared" si="25"/>
        <v>1</v>
      </c>
      <c r="M88" s="67">
        <f t="shared" si="26"/>
        <v>1</v>
      </c>
      <c r="O88" s="67" t="str">
        <f t="shared" si="27"/>
        <v/>
      </c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105"/>
    </row>
    <row r="89" spans="3:42" x14ac:dyDescent="0.25">
      <c r="C89" s="94" t="str">
        <f t="shared" si="22"/>
        <v/>
      </c>
      <c r="D89" s="95">
        <v>10</v>
      </c>
      <c r="E89" s="96" t="str">
        <f>BUNDESLIGA!F108&amp;IF(OR(BUNDESLIGA!G108="",BUNDESLIGA!H108=""),"",IF(BUNDESLIGA!G108&gt;BUNDESLIGA!H108,"",IF(BUNDESLIGA!G108&lt;BUNDESLIGA!H108,"","")))</f>
        <v>1899 Hoffenheim</v>
      </c>
      <c r="F89" s="96" t="str">
        <f>BUNDESLIGA!I108&amp;IF(OR(BUNDESLIGA!G108="",BUNDESLIGA!H108=""),"",IF(BUNDESLIGA!G108&lt;BUNDESLIGA!H108,"",IF(BUNDESLIGA!G108&gt;BUNDESLIGA!H108,"","")))</f>
        <v>SC Paderborn 07</v>
      </c>
      <c r="G89" s="96" t="str">
        <f>IF(BUNDESLIGA!G108&lt;&gt;"",BUNDESLIGA!G108&amp;" - "&amp;BUNDESLIGA!H108,"")</f>
        <v>3 - 0</v>
      </c>
      <c r="H89" s="96" t="str">
        <f t="shared" si="28"/>
        <v>1899 Hoffenheim-SC Paderborn 07</v>
      </c>
      <c r="I89" s="96" t="str">
        <f t="shared" si="23"/>
        <v>3</v>
      </c>
      <c r="J89" s="97" t="str">
        <f t="shared" si="24"/>
        <v>0</v>
      </c>
      <c r="L89" s="67">
        <f t="shared" si="25"/>
        <v>3</v>
      </c>
      <c r="M89" s="67">
        <f t="shared" si="26"/>
        <v>0</v>
      </c>
      <c r="O89" s="67" t="str">
        <f t="shared" si="27"/>
        <v/>
      </c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105"/>
    </row>
    <row r="90" spans="3:42" x14ac:dyDescent="0.25">
      <c r="C90" s="94" t="str">
        <f t="shared" si="22"/>
        <v/>
      </c>
      <c r="D90" s="95">
        <v>10</v>
      </c>
      <c r="E90" s="96" t="str">
        <f>BUNDESLIGA!F109&amp;IF(OR(BUNDESLIGA!G109="",BUNDESLIGA!H109=""),"",IF(BUNDESLIGA!G109&gt;BUNDESLIGA!H109,"",IF(BUNDESLIGA!G109&lt;BUNDESLIGA!H109,"","")))</f>
        <v>Fortuna Düsseldorf</v>
      </c>
      <c r="F90" s="96" t="str">
        <f>BUNDESLIGA!I109&amp;IF(OR(BUNDESLIGA!G109="",BUNDESLIGA!H109=""),"",IF(BUNDESLIGA!G109&lt;BUNDESLIGA!H109,"",IF(BUNDESLIGA!G109&gt;BUNDESLIGA!H109,"","")))</f>
        <v>1. FC Köln</v>
      </c>
      <c r="G90" s="96" t="str">
        <f>IF(BUNDESLIGA!G109&lt;&gt;"",BUNDESLIGA!G109&amp;" - "&amp;BUNDESLIGA!H109,"")</f>
        <v>2 - 0</v>
      </c>
      <c r="H90" s="96" t="str">
        <f t="shared" si="28"/>
        <v>Fortuna Düsseldorf-1. FC Köln</v>
      </c>
      <c r="I90" s="96" t="str">
        <f t="shared" si="23"/>
        <v>2</v>
      </c>
      <c r="J90" s="97" t="str">
        <f t="shared" si="24"/>
        <v>0</v>
      </c>
      <c r="L90" s="67">
        <f t="shared" si="25"/>
        <v>3</v>
      </c>
      <c r="M90" s="67">
        <f t="shared" si="26"/>
        <v>0</v>
      </c>
      <c r="O90" s="67" t="str">
        <f t="shared" si="27"/>
        <v/>
      </c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105"/>
    </row>
    <row r="91" spans="3:42" x14ac:dyDescent="0.25">
      <c r="C91" s="94">
        <f t="shared" si="22"/>
        <v>10</v>
      </c>
      <c r="D91" s="95">
        <v>10</v>
      </c>
      <c r="E91" s="96" t="str">
        <f>BUNDESLIGA!F110&amp;IF(OR(BUNDESLIGA!G110="",BUNDESLIGA!H110=""),"",IF(BUNDESLIGA!G110&gt;BUNDESLIGA!H110,"",IF(BUNDESLIGA!G110&lt;BUNDESLIGA!H110,"","")))</f>
        <v>FC Augsburg</v>
      </c>
      <c r="F91" s="96" t="str">
        <f>BUNDESLIGA!I110&amp;IF(OR(BUNDESLIGA!G110="",BUNDESLIGA!H110=""),"",IF(BUNDESLIGA!G110&lt;BUNDESLIGA!H110,"",IF(BUNDESLIGA!G110&gt;BUNDESLIGA!H110,"","")))</f>
        <v>FC Schalke 04</v>
      </c>
      <c r="G91" s="96" t="str">
        <f>IF(BUNDESLIGA!G110&lt;&gt;"",BUNDESLIGA!G110&amp;" - "&amp;BUNDESLIGA!H110,"")</f>
        <v>2 - 3</v>
      </c>
      <c r="H91" s="96" t="str">
        <f t="shared" si="28"/>
        <v>FC Augsburg-FC Schalke 04</v>
      </c>
      <c r="I91" s="96" t="str">
        <f t="shared" si="23"/>
        <v>2</v>
      </c>
      <c r="J91" s="97" t="str">
        <f t="shared" si="24"/>
        <v>3</v>
      </c>
      <c r="L91" s="67">
        <f t="shared" si="25"/>
        <v>0</v>
      </c>
      <c r="M91" s="67">
        <f t="shared" si="26"/>
        <v>3</v>
      </c>
      <c r="O91" s="67">
        <f t="shared" si="27"/>
        <v>91</v>
      </c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105"/>
    </row>
    <row r="92" spans="3:42" x14ac:dyDescent="0.25">
      <c r="C92" s="94" t="str">
        <f t="shared" si="22"/>
        <v/>
      </c>
      <c r="D92" s="95">
        <v>10</v>
      </c>
      <c r="E92" s="96" t="str">
        <f>BUNDESLIGA!F111&amp;IF(OR(BUNDESLIGA!G111="",BUNDESLIGA!H111=""),"",IF(BUNDESLIGA!G111&gt;BUNDESLIGA!H111,"",IF(BUNDESLIGA!G111&lt;BUNDESLIGA!H111,"","")))</f>
        <v>1. FC Union Berlin</v>
      </c>
      <c r="F92" s="96" t="str">
        <f>BUNDESLIGA!I111&amp;IF(OR(BUNDESLIGA!G111="",BUNDESLIGA!H111=""),"",IF(BUNDESLIGA!G111&lt;BUNDESLIGA!H111,"",IF(BUNDESLIGA!G111&gt;BUNDESLIGA!H111,"","")))</f>
        <v>Hertha BSC</v>
      </c>
      <c r="G92" s="96" t="str">
        <f>IF(BUNDESLIGA!G111&lt;&gt;"",BUNDESLIGA!G111&amp;" - "&amp;BUNDESLIGA!H111,"")</f>
        <v>1 - 0</v>
      </c>
      <c r="H92" s="96" t="str">
        <f t="shared" si="28"/>
        <v>1. FC Union Berlin-Hertha BSC</v>
      </c>
      <c r="I92" s="96" t="str">
        <f t="shared" si="23"/>
        <v>1</v>
      </c>
      <c r="J92" s="97" t="str">
        <f t="shared" si="24"/>
        <v>0</v>
      </c>
      <c r="L92" s="67">
        <f t="shared" si="25"/>
        <v>3</v>
      </c>
      <c r="M92" s="67">
        <f t="shared" si="26"/>
        <v>0</v>
      </c>
      <c r="O92" s="67" t="str">
        <f t="shared" si="27"/>
        <v/>
      </c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105"/>
    </row>
    <row r="93" spans="3:42" x14ac:dyDescent="0.25">
      <c r="C93" s="94" t="str">
        <f t="shared" si="22"/>
        <v/>
      </c>
      <c r="D93" s="95">
        <v>11</v>
      </c>
      <c r="E93" s="96" t="str">
        <f>BUNDESLIGA!F114&amp;IF(OR(BUNDESLIGA!G114="",BUNDESLIGA!H114=""),"",IF(BUNDESLIGA!G114&gt;BUNDESLIGA!H114,"",IF(BUNDESLIGA!G114&lt;BUNDESLIGA!H114,"","")))</f>
        <v>Bayern München</v>
      </c>
      <c r="F93" s="96" t="str">
        <f>BUNDESLIGA!I114&amp;IF(OR(BUNDESLIGA!G114="",BUNDESLIGA!H114=""),"",IF(BUNDESLIGA!G114&lt;BUNDESLIGA!H114,"",IF(BUNDESLIGA!G114&gt;BUNDESLIGA!H114,"","")))</f>
        <v>Borussia Dortmund</v>
      </c>
      <c r="G93" s="96" t="str">
        <f>IF(BUNDESLIGA!G114&lt;&gt;"",BUNDESLIGA!G114&amp;" - "&amp;BUNDESLIGA!H114,"")</f>
        <v>4 - 0</v>
      </c>
      <c r="H93" s="96" t="str">
        <f t="shared" si="28"/>
        <v>Bayern München-Borussia Dortmund</v>
      </c>
      <c r="I93" s="96" t="str">
        <f t="shared" si="23"/>
        <v>4</v>
      </c>
      <c r="J93" s="97" t="str">
        <f t="shared" si="24"/>
        <v>0</v>
      </c>
      <c r="L93" s="67">
        <f t="shared" si="25"/>
        <v>3</v>
      </c>
      <c r="M93" s="67">
        <f t="shared" si="26"/>
        <v>0</v>
      </c>
      <c r="O93" s="67" t="str">
        <f t="shared" si="27"/>
        <v/>
      </c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105"/>
    </row>
    <row r="94" spans="3:42" x14ac:dyDescent="0.25">
      <c r="C94" s="94" t="str">
        <f t="shared" si="22"/>
        <v/>
      </c>
      <c r="D94" s="95">
        <v>11</v>
      </c>
      <c r="E94" s="96" t="str">
        <f>BUNDESLIGA!F115&amp;IF(OR(BUNDESLIGA!G115="",BUNDESLIGA!H115=""),"",IF(BUNDESLIGA!G115&gt;BUNDESLIGA!H115,"",IF(BUNDESLIGA!G115&lt;BUNDESLIGA!H115,"","")))</f>
        <v>Bor. Mönchengladbach</v>
      </c>
      <c r="F94" s="96" t="str">
        <f>BUNDESLIGA!I115&amp;IF(OR(BUNDESLIGA!G115="",BUNDESLIGA!H115=""),"",IF(BUNDESLIGA!G115&lt;BUNDESLIGA!H115,"",IF(BUNDESLIGA!G115&gt;BUNDESLIGA!H115,"","")))</f>
        <v>Werder Bremen</v>
      </c>
      <c r="G94" s="96" t="str">
        <f>IF(BUNDESLIGA!G115&lt;&gt;"",BUNDESLIGA!G115&amp;" - "&amp;BUNDESLIGA!H115,"")</f>
        <v>3 - 1</v>
      </c>
      <c r="H94" s="96" t="str">
        <f t="shared" si="28"/>
        <v>Bor. Mönchengladbach-Werder Bremen</v>
      </c>
      <c r="I94" s="96" t="str">
        <f t="shared" si="23"/>
        <v>3</v>
      </c>
      <c r="J94" s="97" t="str">
        <f t="shared" si="24"/>
        <v>1</v>
      </c>
      <c r="L94" s="67">
        <f t="shared" si="25"/>
        <v>3</v>
      </c>
      <c r="M94" s="67">
        <f t="shared" si="26"/>
        <v>0</v>
      </c>
      <c r="O94" s="67" t="str">
        <f t="shared" si="27"/>
        <v/>
      </c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</row>
    <row r="95" spans="3:42" x14ac:dyDescent="0.25">
      <c r="C95" s="94" t="str">
        <f t="shared" si="22"/>
        <v/>
      </c>
      <c r="D95" s="95">
        <v>11</v>
      </c>
      <c r="E95" s="96" t="str">
        <f>BUNDESLIGA!F116&amp;IF(OR(BUNDESLIGA!G116="",BUNDESLIGA!H116=""),"",IF(BUNDESLIGA!G116&gt;BUNDESLIGA!H116,"",IF(BUNDESLIGA!G116&lt;BUNDESLIGA!H116,"","")))</f>
        <v>VfL Wolfsburg</v>
      </c>
      <c r="F95" s="96" t="str">
        <f>BUNDESLIGA!I116&amp;IF(OR(BUNDESLIGA!G116="",BUNDESLIGA!H116=""),"",IF(BUNDESLIGA!G116&lt;BUNDESLIGA!H116,"",IF(BUNDESLIGA!G116&gt;BUNDESLIGA!H116,"","")))</f>
        <v>Bayer Leverkusen</v>
      </c>
      <c r="G95" s="96" t="str">
        <f>IF(BUNDESLIGA!G116&lt;&gt;"",BUNDESLIGA!G116&amp;" - "&amp;BUNDESLIGA!H116,"")</f>
        <v>0 - 2</v>
      </c>
      <c r="H95" s="96" t="str">
        <f t="shared" si="28"/>
        <v>VfL Wolfsburg-Bayer Leverkusen</v>
      </c>
      <c r="I95" s="96" t="str">
        <f t="shared" si="23"/>
        <v>0</v>
      </c>
      <c r="J95" s="97" t="str">
        <f t="shared" si="24"/>
        <v>2</v>
      </c>
      <c r="L95" s="67">
        <f t="shared" si="25"/>
        <v>0</v>
      </c>
      <c r="M95" s="67">
        <f t="shared" si="26"/>
        <v>3</v>
      </c>
      <c r="O95" s="67" t="str">
        <f t="shared" si="27"/>
        <v/>
      </c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</row>
    <row r="96" spans="3:42" x14ac:dyDescent="0.25">
      <c r="C96" s="94" t="str">
        <f t="shared" si="22"/>
        <v/>
      </c>
      <c r="D96" s="95">
        <v>11</v>
      </c>
      <c r="E96" s="96" t="str">
        <f>BUNDESLIGA!F117&amp;IF(OR(BUNDESLIGA!G117="",BUNDESLIGA!H117=""),"",IF(BUNDESLIGA!G117&gt;BUNDESLIGA!H117,"",IF(BUNDESLIGA!G117&lt;BUNDESLIGA!H117,"","")))</f>
        <v>Hertha BSC</v>
      </c>
      <c r="F96" s="96" t="str">
        <f>BUNDESLIGA!I117&amp;IF(OR(BUNDESLIGA!G117="",BUNDESLIGA!H117=""),"",IF(BUNDESLIGA!G117&lt;BUNDESLIGA!H117,"",IF(BUNDESLIGA!G117&gt;BUNDESLIGA!H117,"","")))</f>
        <v>RB Leipzig</v>
      </c>
      <c r="G96" s="96" t="str">
        <f>IF(BUNDESLIGA!G117&lt;&gt;"",BUNDESLIGA!G117&amp;" - "&amp;BUNDESLIGA!H117,"")</f>
        <v>2 - 4</v>
      </c>
      <c r="H96" s="96" t="str">
        <f t="shared" si="28"/>
        <v>Hertha BSC-RB Leipzig</v>
      </c>
      <c r="I96" s="96" t="str">
        <f t="shared" si="23"/>
        <v>2</v>
      </c>
      <c r="J96" s="97" t="str">
        <f t="shared" si="24"/>
        <v>4</v>
      </c>
      <c r="L96" s="67">
        <f t="shared" si="25"/>
        <v>0</v>
      </c>
      <c r="M96" s="67">
        <f t="shared" si="26"/>
        <v>3</v>
      </c>
      <c r="O96" s="67" t="str">
        <f t="shared" si="27"/>
        <v/>
      </c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</row>
    <row r="97" spans="3:41" x14ac:dyDescent="0.25">
      <c r="C97" s="94" t="str">
        <f t="shared" si="22"/>
        <v/>
      </c>
      <c r="D97" s="95">
        <v>11</v>
      </c>
      <c r="E97" s="96" t="str">
        <f>BUNDESLIGA!F118&amp;IF(OR(BUNDESLIGA!G118="",BUNDESLIGA!H118=""),"",IF(BUNDESLIGA!G118&gt;BUNDESLIGA!H118,"",IF(BUNDESLIGA!G118&lt;BUNDESLIGA!H118,"","")))</f>
        <v>1. FSV Mainz 05</v>
      </c>
      <c r="F97" s="96" t="str">
        <f>BUNDESLIGA!I118&amp;IF(OR(BUNDESLIGA!G118="",BUNDESLIGA!H118=""),"",IF(BUNDESLIGA!G118&lt;BUNDESLIGA!H118,"",IF(BUNDESLIGA!G118&gt;BUNDESLIGA!H118,"","")))</f>
        <v>1. FC Union Berlin</v>
      </c>
      <c r="G97" s="96" t="str">
        <f>IF(BUNDESLIGA!G118&lt;&gt;"",BUNDESLIGA!G118&amp;" - "&amp;BUNDESLIGA!H118,"")</f>
        <v>2 - 3</v>
      </c>
      <c r="H97" s="96" t="str">
        <f t="shared" si="28"/>
        <v>1. FSV Mainz 05-1. FC Union Berlin</v>
      </c>
      <c r="I97" s="96" t="str">
        <f t="shared" si="23"/>
        <v>2</v>
      </c>
      <c r="J97" s="97" t="str">
        <f t="shared" si="24"/>
        <v>3</v>
      </c>
      <c r="L97" s="67">
        <f t="shared" si="25"/>
        <v>0</v>
      </c>
      <c r="M97" s="67">
        <f t="shared" si="26"/>
        <v>3</v>
      </c>
      <c r="O97" s="67" t="str">
        <f t="shared" si="27"/>
        <v/>
      </c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</row>
    <row r="98" spans="3:41" x14ac:dyDescent="0.25">
      <c r="C98" s="94" t="str">
        <f t="shared" si="22"/>
        <v/>
      </c>
      <c r="D98" s="95">
        <v>11</v>
      </c>
      <c r="E98" s="96" t="str">
        <f>BUNDESLIGA!F119&amp;IF(OR(BUNDESLIGA!G119="",BUNDESLIGA!H119=""),"",IF(BUNDESLIGA!G119&gt;BUNDESLIGA!H119,"",IF(BUNDESLIGA!G119&lt;BUNDESLIGA!H119,"","")))</f>
        <v>SC Freiburg</v>
      </c>
      <c r="F98" s="96" t="str">
        <f>BUNDESLIGA!I119&amp;IF(OR(BUNDESLIGA!G119="",BUNDESLIGA!H119=""),"",IF(BUNDESLIGA!G119&lt;BUNDESLIGA!H119,"",IF(BUNDESLIGA!G119&gt;BUNDESLIGA!H119,"","")))</f>
        <v>Eintracht Frankfurt</v>
      </c>
      <c r="G98" s="96" t="str">
        <f>IF(BUNDESLIGA!G119&lt;&gt;"",BUNDESLIGA!G119&amp;" - "&amp;BUNDESLIGA!H119,"")</f>
        <v>1 - 0</v>
      </c>
      <c r="H98" s="96" t="str">
        <f t="shared" si="28"/>
        <v>SC Freiburg-Eintracht Frankfurt</v>
      </c>
      <c r="I98" s="96" t="str">
        <f t="shared" si="23"/>
        <v>1</v>
      </c>
      <c r="J98" s="97" t="str">
        <f t="shared" si="24"/>
        <v>0</v>
      </c>
      <c r="L98" s="67">
        <f t="shared" si="25"/>
        <v>3</v>
      </c>
      <c r="M98" s="67">
        <f t="shared" si="26"/>
        <v>0</v>
      </c>
      <c r="O98" s="67" t="str">
        <f t="shared" si="27"/>
        <v/>
      </c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</row>
    <row r="99" spans="3:41" x14ac:dyDescent="0.25">
      <c r="C99" s="94" t="str">
        <f t="shared" si="22"/>
        <v/>
      </c>
      <c r="D99" s="95">
        <v>11</v>
      </c>
      <c r="E99" s="96" t="str">
        <f>BUNDESLIGA!F120&amp;IF(OR(BUNDESLIGA!G120="",BUNDESLIGA!H120=""),"",IF(BUNDESLIGA!G120&gt;BUNDESLIGA!H120,"",IF(BUNDESLIGA!G120&lt;BUNDESLIGA!H120,"","")))</f>
        <v>FC Schalke 04</v>
      </c>
      <c r="F99" s="96" t="str">
        <f>BUNDESLIGA!I120&amp;IF(OR(BUNDESLIGA!G120="",BUNDESLIGA!H120=""),"",IF(BUNDESLIGA!G120&lt;BUNDESLIGA!H120,"",IF(BUNDESLIGA!G120&gt;BUNDESLIGA!H120,"","")))</f>
        <v>Fortuna Düsseldorf</v>
      </c>
      <c r="G99" s="96" t="str">
        <f>IF(BUNDESLIGA!G120&lt;&gt;"",BUNDESLIGA!G120&amp;" - "&amp;BUNDESLIGA!H120,"")</f>
        <v>3 - 3</v>
      </c>
      <c r="H99" s="96" t="str">
        <f t="shared" si="28"/>
        <v>FC Schalke 04-Fortuna Düsseldorf</v>
      </c>
      <c r="I99" s="96" t="str">
        <f t="shared" si="23"/>
        <v>3</v>
      </c>
      <c r="J99" s="97" t="str">
        <f t="shared" si="24"/>
        <v>3</v>
      </c>
      <c r="L99" s="67">
        <f t="shared" si="25"/>
        <v>1</v>
      </c>
      <c r="M99" s="67">
        <f t="shared" si="26"/>
        <v>1</v>
      </c>
      <c r="O99" s="67" t="str">
        <f t="shared" si="27"/>
        <v/>
      </c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</row>
    <row r="100" spans="3:41" x14ac:dyDescent="0.25">
      <c r="C100" s="94" t="str">
        <f t="shared" si="22"/>
        <v/>
      </c>
      <c r="D100" s="95">
        <v>11</v>
      </c>
      <c r="E100" s="96" t="str">
        <f>BUNDESLIGA!F121&amp;IF(OR(BUNDESLIGA!G121="",BUNDESLIGA!H121=""),"",IF(BUNDESLIGA!G121&gt;BUNDESLIGA!H121,"",IF(BUNDESLIGA!G121&lt;BUNDESLIGA!H121,"","")))</f>
        <v>1. FC Köln</v>
      </c>
      <c r="F100" s="96" t="str">
        <f>BUNDESLIGA!I121&amp;IF(OR(BUNDESLIGA!G121="",BUNDESLIGA!H121=""),"",IF(BUNDESLIGA!G121&lt;BUNDESLIGA!H121,"",IF(BUNDESLIGA!G121&gt;BUNDESLIGA!H121,"","")))</f>
        <v>1899 Hoffenheim</v>
      </c>
      <c r="G100" s="96" t="str">
        <f>IF(BUNDESLIGA!G121&lt;&gt;"",BUNDESLIGA!G121&amp;" - "&amp;BUNDESLIGA!H121,"")</f>
        <v>1 - 2</v>
      </c>
      <c r="H100" s="96" t="str">
        <f t="shared" si="28"/>
        <v>1. FC Köln-1899 Hoffenheim</v>
      </c>
      <c r="I100" s="96" t="str">
        <f t="shared" si="23"/>
        <v>1</v>
      </c>
      <c r="J100" s="97" t="str">
        <f t="shared" si="24"/>
        <v>2</v>
      </c>
      <c r="L100" s="67">
        <f t="shared" si="25"/>
        <v>0</v>
      </c>
      <c r="M100" s="67">
        <f t="shared" si="26"/>
        <v>3</v>
      </c>
      <c r="O100" s="67" t="str">
        <f t="shared" si="27"/>
        <v/>
      </c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</row>
    <row r="101" spans="3:41" x14ac:dyDescent="0.25">
      <c r="C101" s="94">
        <f t="shared" si="22"/>
        <v>11</v>
      </c>
      <c r="D101" s="95">
        <v>11</v>
      </c>
      <c r="E101" s="96" t="str">
        <f>BUNDESLIGA!F122&amp;IF(OR(BUNDESLIGA!G122="",BUNDESLIGA!H122=""),"",IF(BUNDESLIGA!G122&gt;BUNDESLIGA!H122,"",IF(BUNDESLIGA!G122&lt;BUNDESLIGA!H122,"","")))</f>
        <v>SC Paderborn 07</v>
      </c>
      <c r="F101" s="96" t="str">
        <f>BUNDESLIGA!I122&amp;IF(OR(BUNDESLIGA!G122="",BUNDESLIGA!H122=""),"",IF(BUNDESLIGA!G122&lt;BUNDESLIGA!H122,"",IF(BUNDESLIGA!G122&gt;BUNDESLIGA!H122,"","")))</f>
        <v>FC Augsburg</v>
      </c>
      <c r="G101" s="96" t="str">
        <f>IF(BUNDESLIGA!G122&lt;&gt;"",BUNDESLIGA!G122&amp;" - "&amp;BUNDESLIGA!H122,"")</f>
        <v>0 - 1</v>
      </c>
      <c r="H101" s="96" t="str">
        <f t="shared" si="28"/>
        <v>SC Paderborn 07-FC Augsburg</v>
      </c>
      <c r="I101" s="96" t="str">
        <f t="shared" si="23"/>
        <v>0</v>
      </c>
      <c r="J101" s="97" t="str">
        <f t="shared" si="24"/>
        <v>1</v>
      </c>
      <c r="L101" s="67">
        <f t="shared" si="25"/>
        <v>0</v>
      </c>
      <c r="M101" s="67">
        <f t="shared" si="26"/>
        <v>3</v>
      </c>
      <c r="O101" s="67">
        <f t="shared" si="27"/>
        <v>101</v>
      </c>
      <c r="P101" s="67"/>
      <c r="Q101" s="67"/>
      <c r="R101" s="67"/>
      <c r="S101" s="67"/>
      <c r="T101" s="67"/>
      <c r="U101" s="67"/>
      <c r="V101" s="67"/>
      <c r="W101" s="67"/>
      <c r="X101" s="67"/>
      <c r="Y101" s="67"/>
      <c r="Z101" s="67"/>
      <c r="AA101" s="67"/>
      <c r="AB101" s="67"/>
      <c r="AC101" s="67"/>
      <c r="AD101" s="67"/>
      <c r="AE101" s="67"/>
      <c r="AF101" s="67"/>
      <c r="AG101" s="67"/>
      <c r="AH101" s="67"/>
      <c r="AI101" s="67"/>
      <c r="AJ101" s="67"/>
      <c r="AK101" s="67"/>
      <c r="AL101" s="67"/>
      <c r="AM101" s="67"/>
      <c r="AN101" s="67"/>
      <c r="AO101" s="67"/>
    </row>
    <row r="102" spans="3:41" x14ac:dyDescent="0.25">
      <c r="C102" s="94" t="str">
        <f t="shared" si="22"/>
        <v/>
      </c>
      <c r="D102" s="95">
        <v>12</v>
      </c>
      <c r="E102" s="96" t="str">
        <f>BUNDESLIGA!F125&amp;IF(OR(BUNDESLIGA!G125="",BUNDESLIGA!H125=""),"",IF(BUNDESLIGA!G125&gt;BUNDESLIGA!H125,"",IF(BUNDESLIGA!G125&lt;BUNDESLIGA!H125,"","")))</f>
        <v>Borussia Dortmund</v>
      </c>
      <c r="F102" s="96" t="str">
        <f>BUNDESLIGA!I125&amp;IF(OR(BUNDESLIGA!G125="",BUNDESLIGA!H125=""),"",IF(BUNDESLIGA!G125&lt;BUNDESLIGA!H125,"",IF(BUNDESLIGA!G125&gt;BUNDESLIGA!H125,"","")))</f>
        <v>SC Paderborn 07</v>
      </c>
      <c r="G102" s="96" t="str">
        <f>IF(BUNDESLIGA!G125&lt;&gt;"",BUNDESLIGA!G125&amp;" - "&amp;BUNDESLIGA!H125,"")</f>
        <v>3 - 3</v>
      </c>
      <c r="H102" s="96" t="str">
        <f t="shared" si="28"/>
        <v>Borussia Dortmund-SC Paderborn 07</v>
      </c>
      <c r="I102" s="96" t="str">
        <f t="shared" si="23"/>
        <v>3</v>
      </c>
      <c r="J102" s="97" t="str">
        <f t="shared" si="24"/>
        <v>3</v>
      </c>
      <c r="L102" s="67">
        <f t="shared" si="25"/>
        <v>1</v>
      </c>
      <c r="M102" s="67">
        <f t="shared" si="26"/>
        <v>1</v>
      </c>
      <c r="O102" s="67" t="str">
        <f t="shared" si="27"/>
        <v/>
      </c>
      <c r="P102" s="67"/>
      <c r="Q102" s="67"/>
      <c r="R102" s="67"/>
      <c r="S102" s="67"/>
      <c r="T102" s="67"/>
      <c r="U102" s="67"/>
      <c r="V102" s="67"/>
      <c r="W102" s="67"/>
      <c r="X102" s="67"/>
      <c r="Y102" s="67"/>
      <c r="Z102" s="67"/>
      <c r="AA102" s="67"/>
      <c r="AB102" s="67"/>
      <c r="AC102" s="67"/>
      <c r="AD102" s="67"/>
      <c r="AE102" s="67"/>
      <c r="AF102" s="67"/>
      <c r="AG102" s="67"/>
      <c r="AH102" s="67"/>
      <c r="AI102" s="67"/>
      <c r="AJ102" s="67"/>
      <c r="AK102" s="67"/>
      <c r="AL102" s="67"/>
      <c r="AM102" s="67"/>
      <c r="AN102" s="67"/>
      <c r="AO102" s="67"/>
    </row>
    <row r="103" spans="3:41" x14ac:dyDescent="0.25">
      <c r="C103" s="94" t="str">
        <f t="shared" si="22"/>
        <v/>
      </c>
      <c r="D103" s="95">
        <v>12</v>
      </c>
      <c r="E103" s="96" t="str">
        <f>BUNDESLIGA!F126&amp;IF(OR(BUNDESLIGA!G126="",BUNDESLIGA!H126=""),"",IF(BUNDESLIGA!G126&gt;BUNDESLIGA!H126,"",IF(BUNDESLIGA!G126&lt;BUNDESLIGA!H126,"","")))</f>
        <v>RB Leipzig</v>
      </c>
      <c r="F103" s="96" t="str">
        <f>BUNDESLIGA!I126&amp;IF(OR(BUNDESLIGA!G126="",BUNDESLIGA!H126=""),"",IF(BUNDESLIGA!G126&lt;BUNDESLIGA!H126,"",IF(BUNDESLIGA!G126&gt;BUNDESLIGA!H126,"","")))</f>
        <v>1. FC Köln</v>
      </c>
      <c r="G103" s="96" t="str">
        <f>IF(BUNDESLIGA!G126&lt;&gt;"",BUNDESLIGA!G126&amp;" - "&amp;BUNDESLIGA!H126,"")</f>
        <v>4 - 1</v>
      </c>
      <c r="H103" s="96" t="str">
        <f t="shared" si="28"/>
        <v>RB Leipzig-1. FC Köln</v>
      </c>
      <c r="I103" s="96" t="str">
        <f t="shared" si="23"/>
        <v>4</v>
      </c>
      <c r="J103" s="97" t="str">
        <f t="shared" si="24"/>
        <v>1</v>
      </c>
      <c r="L103" s="67">
        <f t="shared" si="25"/>
        <v>3</v>
      </c>
      <c r="M103" s="67">
        <f t="shared" si="26"/>
        <v>0</v>
      </c>
      <c r="O103" s="67" t="str">
        <f t="shared" si="27"/>
        <v/>
      </c>
      <c r="P103" s="67"/>
      <c r="Q103" s="67"/>
      <c r="R103" s="67"/>
      <c r="S103" s="67"/>
      <c r="T103" s="67"/>
      <c r="U103" s="67"/>
      <c r="V103" s="67"/>
      <c r="W103" s="67"/>
      <c r="X103" s="67"/>
      <c r="Y103" s="67"/>
      <c r="Z103" s="67"/>
      <c r="AA103" s="67"/>
      <c r="AB103" s="67"/>
      <c r="AC103" s="67"/>
      <c r="AD103" s="67"/>
      <c r="AE103" s="67"/>
      <c r="AF103" s="67"/>
      <c r="AG103" s="67"/>
      <c r="AH103" s="67"/>
      <c r="AI103" s="67"/>
      <c r="AJ103" s="67"/>
      <c r="AK103" s="67"/>
      <c r="AL103" s="67"/>
      <c r="AM103" s="67"/>
      <c r="AN103" s="67"/>
      <c r="AO103" s="67"/>
    </row>
    <row r="104" spans="3:41" x14ac:dyDescent="0.25">
      <c r="C104" s="94" t="str">
        <f t="shared" si="22"/>
        <v/>
      </c>
      <c r="D104" s="95">
        <v>12</v>
      </c>
      <c r="E104" s="96" t="str">
        <f>BUNDESLIGA!F127&amp;IF(OR(BUNDESLIGA!G127="",BUNDESLIGA!H127=""),"",IF(BUNDESLIGA!G127&gt;BUNDESLIGA!H127,"",IF(BUNDESLIGA!G127&lt;BUNDESLIGA!H127,"","")))</f>
        <v>Bayer Leverkusen</v>
      </c>
      <c r="F104" s="96" t="str">
        <f>BUNDESLIGA!I127&amp;IF(OR(BUNDESLIGA!G127="",BUNDESLIGA!H127=""),"",IF(BUNDESLIGA!G127&lt;BUNDESLIGA!H127,"",IF(BUNDESLIGA!G127&gt;BUNDESLIGA!H127,"","")))</f>
        <v>SC Freiburg</v>
      </c>
      <c r="G104" s="96" t="str">
        <f>IF(BUNDESLIGA!G127&lt;&gt;"",BUNDESLIGA!G127&amp;" - "&amp;BUNDESLIGA!H127,"")</f>
        <v>1 - 1</v>
      </c>
      <c r="H104" s="96" t="str">
        <f t="shared" si="28"/>
        <v>Bayer Leverkusen-SC Freiburg</v>
      </c>
      <c r="I104" s="96" t="str">
        <f t="shared" si="23"/>
        <v>1</v>
      </c>
      <c r="J104" s="97" t="str">
        <f t="shared" si="24"/>
        <v>1</v>
      </c>
      <c r="L104" s="67">
        <f t="shared" si="25"/>
        <v>1</v>
      </c>
      <c r="M104" s="67">
        <f t="shared" si="26"/>
        <v>1</v>
      </c>
      <c r="O104" s="67" t="str">
        <f t="shared" si="27"/>
        <v/>
      </c>
      <c r="P104" s="67"/>
      <c r="Q104" s="67"/>
      <c r="R104" s="67"/>
      <c r="S104" s="67"/>
      <c r="T104" s="67"/>
      <c r="U104" s="67"/>
      <c r="V104" s="67"/>
      <c r="W104" s="67"/>
      <c r="X104" s="67"/>
      <c r="Y104" s="67"/>
      <c r="Z104" s="67"/>
      <c r="AA104" s="67"/>
      <c r="AB104" s="67"/>
      <c r="AC104" s="67"/>
      <c r="AD104" s="67"/>
      <c r="AE104" s="67"/>
      <c r="AF104" s="67"/>
      <c r="AG104" s="67"/>
      <c r="AH104" s="67"/>
      <c r="AI104" s="67"/>
      <c r="AJ104" s="67"/>
      <c r="AK104" s="67"/>
      <c r="AL104" s="67"/>
      <c r="AM104" s="67"/>
      <c r="AN104" s="67"/>
      <c r="AO104" s="67"/>
    </row>
    <row r="105" spans="3:41" x14ac:dyDescent="0.25">
      <c r="C105" s="94" t="str">
        <f t="shared" si="22"/>
        <v/>
      </c>
      <c r="D105" s="95">
        <v>12</v>
      </c>
      <c r="E105" s="96" t="str">
        <f>BUNDESLIGA!F128&amp;IF(OR(BUNDESLIGA!G128="",BUNDESLIGA!H128=""),"",IF(BUNDESLIGA!G128&gt;BUNDESLIGA!H128,"",IF(BUNDESLIGA!G128&lt;BUNDESLIGA!H128,"","")))</f>
        <v>Eintracht Frankfurt</v>
      </c>
      <c r="F105" s="96" t="str">
        <f>BUNDESLIGA!I128&amp;IF(OR(BUNDESLIGA!G128="",BUNDESLIGA!H128=""),"",IF(BUNDESLIGA!G128&lt;BUNDESLIGA!H128,"",IF(BUNDESLIGA!G128&gt;BUNDESLIGA!H128,"","")))</f>
        <v>VfL Wolfsburg</v>
      </c>
      <c r="G105" s="96" t="str">
        <f>IF(BUNDESLIGA!G128&lt;&gt;"",BUNDESLIGA!G128&amp;" - "&amp;BUNDESLIGA!H128,"")</f>
        <v>0 - 2</v>
      </c>
      <c r="H105" s="96" t="str">
        <f t="shared" si="28"/>
        <v>Eintracht Frankfurt-VfL Wolfsburg</v>
      </c>
      <c r="I105" s="96" t="str">
        <f t="shared" si="23"/>
        <v>0</v>
      </c>
      <c r="J105" s="97" t="str">
        <f t="shared" si="24"/>
        <v>2</v>
      </c>
      <c r="L105" s="67">
        <f t="shared" si="25"/>
        <v>0</v>
      </c>
      <c r="M105" s="67">
        <f t="shared" si="26"/>
        <v>3</v>
      </c>
      <c r="O105" s="67" t="str">
        <f t="shared" si="27"/>
        <v/>
      </c>
      <c r="P105" s="67"/>
      <c r="Q105" s="67"/>
      <c r="R105" s="67"/>
      <c r="S105" s="67"/>
      <c r="T105" s="67"/>
      <c r="U105" s="67"/>
      <c r="V105" s="67"/>
      <c r="W105" s="67"/>
      <c r="X105" s="67"/>
      <c r="Y105" s="67"/>
      <c r="Z105" s="67"/>
      <c r="AA105" s="67"/>
      <c r="AB105" s="67"/>
      <c r="AC105" s="67"/>
      <c r="AD105" s="67"/>
      <c r="AE105" s="67"/>
      <c r="AF105" s="67"/>
      <c r="AG105" s="67"/>
      <c r="AH105" s="67"/>
      <c r="AI105" s="67"/>
      <c r="AJ105" s="67"/>
      <c r="AK105" s="67"/>
      <c r="AL105" s="67"/>
      <c r="AM105" s="67"/>
      <c r="AN105" s="67"/>
      <c r="AO105" s="67"/>
    </row>
    <row r="106" spans="3:41" x14ac:dyDescent="0.25">
      <c r="C106" s="94" t="str">
        <f t="shared" si="22"/>
        <v/>
      </c>
      <c r="D106" s="95">
        <v>12</v>
      </c>
      <c r="E106" s="96" t="str">
        <f>BUNDESLIGA!F129&amp;IF(OR(BUNDESLIGA!G129="",BUNDESLIGA!H129=""),"",IF(BUNDESLIGA!G129&gt;BUNDESLIGA!H129,"",IF(BUNDESLIGA!G129&lt;BUNDESLIGA!H129,"","")))</f>
        <v>Werder Bremen</v>
      </c>
      <c r="F106" s="96" t="str">
        <f>BUNDESLIGA!I129&amp;IF(OR(BUNDESLIGA!G129="",BUNDESLIGA!H129=""),"",IF(BUNDESLIGA!G129&lt;BUNDESLIGA!H129,"",IF(BUNDESLIGA!G129&gt;BUNDESLIGA!H129,"","")))</f>
        <v>FC Schalke 04</v>
      </c>
      <c r="G106" s="96" t="str">
        <f>IF(BUNDESLIGA!G129&lt;&gt;"",BUNDESLIGA!G129&amp;" - "&amp;BUNDESLIGA!H129,"")</f>
        <v>1 - 2</v>
      </c>
      <c r="H106" s="96" t="str">
        <f t="shared" si="28"/>
        <v>Werder Bremen-FC Schalke 04</v>
      </c>
      <c r="I106" s="96" t="str">
        <f t="shared" si="23"/>
        <v>1</v>
      </c>
      <c r="J106" s="97" t="str">
        <f t="shared" si="24"/>
        <v>2</v>
      </c>
      <c r="L106" s="67">
        <f t="shared" si="25"/>
        <v>0</v>
      </c>
      <c r="M106" s="67">
        <f t="shared" si="26"/>
        <v>3</v>
      </c>
      <c r="O106" s="67" t="str">
        <f t="shared" si="27"/>
        <v/>
      </c>
      <c r="P106" s="67"/>
      <c r="Q106" s="67"/>
      <c r="R106" s="67"/>
      <c r="S106" s="67"/>
      <c r="T106" s="67"/>
      <c r="U106" s="67"/>
      <c r="V106" s="67"/>
      <c r="W106" s="67"/>
      <c r="X106" s="67"/>
      <c r="Y106" s="67"/>
      <c r="Z106" s="67"/>
      <c r="AA106" s="67"/>
      <c r="AB106" s="67"/>
      <c r="AC106" s="67"/>
      <c r="AD106" s="67"/>
      <c r="AE106" s="67"/>
      <c r="AF106" s="67"/>
      <c r="AG106" s="67"/>
      <c r="AH106" s="67"/>
      <c r="AI106" s="67"/>
      <c r="AJ106" s="67"/>
      <c r="AK106" s="67"/>
      <c r="AL106" s="67"/>
      <c r="AM106" s="67"/>
      <c r="AN106" s="67"/>
      <c r="AO106" s="67"/>
    </row>
    <row r="107" spans="3:41" x14ac:dyDescent="0.25">
      <c r="C107" s="94" t="str">
        <f t="shared" si="22"/>
        <v/>
      </c>
      <c r="D107" s="95">
        <v>12</v>
      </c>
      <c r="E107" s="96" t="str">
        <f>BUNDESLIGA!F130&amp;IF(OR(BUNDESLIGA!G130="",BUNDESLIGA!H130=""),"",IF(BUNDESLIGA!G130&gt;BUNDESLIGA!H130,"",IF(BUNDESLIGA!G130&lt;BUNDESLIGA!H130,"","")))</f>
        <v>1899 Hoffenheim</v>
      </c>
      <c r="F107" s="96" t="str">
        <f>BUNDESLIGA!I130&amp;IF(OR(BUNDESLIGA!G130="",BUNDESLIGA!H130=""),"",IF(BUNDESLIGA!G130&lt;BUNDESLIGA!H130,"",IF(BUNDESLIGA!G130&gt;BUNDESLIGA!H130,"","")))</f>
        <v>1. FSV Mainz 05</v>
      </c>
      <c r="G107" s="96" t="str">
        <f>IF(BUNDESLIGA!G130&lt;&gt;"",BUNDESLIGA!G130&amp;" - "&amp;BUNDESLIGA!H130,"")</f>
        <v>1 - 5</v>
      </c>
      <c r="H107" s="96" t="str">
        <f t="shared" si="28"/>
        <v>1899 Hoffenheim-1. FSV Mainz 05</v>
      </c>
      <c r="I107" s="96" t="str">
        <f t="shared" si="23"/>
        <v>1</v>
      </c>
      <c r="J107" s="97" t="str">
        <f t="shared" si="24"/>
        <v>5</v>
      </c>
      <c r="L107" s="67">
        <f t="shared" si="25"/>
        <v>0</v>
      </c>
      <c r="M107" s="67">
        <f t="shared" si="26"/>
        <v>3</v>
      </c>
      <c r="O107" s="67" t="str">
        <f t="shared" si="27"/>
        <v/>
      </c>
      <c r="P107" s="67"/>
      <c r="Q107" s="67"/>
      <c r="R107" s="67"/>
      <c r="S107" s="67"/>
      <c r="T107" s="67"/>
      <c r="U107" s="67"/>
      <c r="V107" s="67"/>
      <c r="W107" s="67"/>
      <c r="X107" s="67"/>
      <c r="Y107" s="67"/>
      <c r="Z107" s="67"/>
      <c r="AA107" s="67"/>
      <c r="AB107" s="67"/>
      <c r="AC107" s="67"/>
      <c r="AD107" s="67"/>
      <c r="AE107" s="67"/>
      <c r="AF107" s="67"/>
      <c r="AG107" s="67"/>
      <c r="AH107" s="67"/>
      <c r="AI107" s="67"/>
      <c r="AJ107" s="67"/>
      <c r="AK107" s="67"/>
      <c r="AL107" s="67"/>
      <c r="AM107" s="67"/>
      <c r="AN107" s="67"/>
      <c r="AO107" s="67"/>
    </row>
    <row r="108" spans="3:41" x14ac:dyDescent="0.25">
      <c r="C108" s="94" t="str">
        <f t="shared" si="22"/>
        <v/>
      </c>
      <c r="D108" s="95">
        <v>12</v>
      </c>
      <c r="E108" s="96" t="str">
        <f>BUNDESLIGA!F131&amp;IF(OR(BUNDESLIGA!G131="",BUNDESLIGA!H131=""),"",IF(BUNDESLIGA!G131&gt;BUNDESLIGA!H131,"",IF(BUNDESLIGA!G131&lt;BUNDESLIGA!H131,"","")))</f>
        <v>Fortuna Düsseldorf</v>
      </c>
      <c r="F108" s="96" t="str">
        <f>BUNDESLIGA!I131&amp;IF(OR(BUNDESLIGA!G131="",BUNDESLIGA!H131=""),"",IF(BUNDESLIGA!G131&lt;BUNDESLIGA!H131,"",IF(BUNDESLIGA!G131&gt;BUNDESLIGA!H131,"","")))</f>
        <v>Bayern München</v>
      </c>
      <c r="G108" s="96" t="str">
        <f>IF(BUNDESLIGA!G131&lt;&gt;"",BUNDESLIGA!G131&amp;" - "&amp;BUNDESLIGA!H131,"")</f>
        <v>0 - 4</v>
      </c>
      <c r="H108" s="96" t="str">
        <f t="shared" si="28"/>
        <v>Fortuna Düsseldorf-Bayern München</v>
      </c>
      <c r="I108" s="96" t="str">
        <f t="shared" si="23"/>
        <v>0</v>
      </c>
      <c r="J108" s="97" t="str">
        <f t="shared" si="24"/>
        <v>4</v>
      </c>
      <c r="L108" s="67">
        <f t="shared" si="25"/>
        <v>0</v>
      </c>
      <c r="M108" s="67">
        <f t="shared" si="26"/>
        <v>3</v>
      </c>
      <c r="O108" s="67" t="str">
        <f t="shared" si="27"/>
        <v/>
      </c>
      <c r="P108" s="67"/>
      <c r="Q108" s="67"/>
      <c r="R108" s="67"/>
      <c r="S108" s="67"/>
      <c r="T108" s="67"/>
      <c r="U108" s="67"/>
      <c r="V108" s="67"/>
      <c r="W108" s="67"/>
      <c r="X108" s="67"/>
      <c r="Y108" s="67"/>
      <c r="Z108" s="67"/>
      <c r="AA108" s="67"/>
      <c r="AB108" s="67"/>
      <c r="AC108" s="67"/>
      <c r="AD108" s="67"/>
      <c r="AE108" s="67"/>
      <c r="AF108" s="67"/>
      <c r="AG108" s="67"/>
      <c r="AH108" s="67"/>
      <c r="AI108" s="67"/>
      <c r="AJ108" s="67"/>
      <c r="AK108" s="67"/>
      <c r="AL108" s="67"/>
      <c r="AM108" s="67"/>
      <c r="AN108" s="67"/>
      <c r="AO108" s="67"/>
    </row>
    <row r="109" spans="3:41" x14ac:dyDescent="0.25">
      <c r="C109" s="94">
        <f t="shared" si="22"/>
        <v>12</v>
      </c>
      <c r="D109" s="95">
        <v>12</v>
      </c>
      <c r="E109" s="96" t="str">
        <f>BUNDESLIGA!F132&amp;IF(OR(BUNDESLIGA!G132="",BUNDESLIGA!H132=""),"",IF(BUNDESLIGA!G132&gt;BUNDESLIGA!H132,"",IF(BUNDESLIGA!G132&lt;BUNDESLIGA!H132,"","")))</f>
        <v>FC Augsburg</v>
      </c>
      <c r="F109" s="96" t="str">
        <f>BUNDESLIGA!I132&amp;IF(OR(BUNDESLIGA!G132="",BUNDESLIGA!H132=""),"",IF(BUNDESLIGA!G132&lt;BUNDESLIGA!H132,"",IF(BUNDESLIGA!G132&gt;BUNDESLIGA!H132,"","")))</f>
        <v>Hertha BSC</v>
      </c>
      <c r="G109" s="96" t="str">
        <f>IF(BUNDESLIGA!G132&lt;&gt;"",BUNDESLIGA!G132&amp;" - "&amp;BUNDESLIGA!H132,"")</f>
        <v>4 - 0</v>
      </c>
      <c r="H109" s="96" t="str">
        <f t="shared" si="28"/>
        <v>FC Augsburg-Hertha BSC</v>
      </c>
      <c r="I109" s="96" t="str">
        <f t="shared" si="23"/>
        <v>4</v>
      </c>
      <c r="J109" s="97" t="str">
        <f t="shared" si="24"/>
        <v>0</v>
      </c>
      <c r="L109" s="67">
        <f t="shared" si="25"/>
        <v>3</v>
      </c>
      <c r="M109" s="67">
        <f t="shared" si="26"/>
        <v>0</v>
      </c>
      <c r="O109" s="67">
        <f t="shared" si="27"/>
        <v>109</v>
      </c>
      <c r="P109" s="67"/>
      <c r="Q109" s="67"/>
      <c r="R109" s="67"/>
      <c r="S109" s="67"/>
      <c r="T109" s="67"/>
      <c r="U109" s="67"/>
      <c r="V109" s="67"/>
      <c r="W109" s="67"/>
      <c r="X109" s="67"/>
      <c r="Y109" s="67"/>
      <c r="Z109" s="67"/>
      <c r="AA109" s="67"/>
      <c r="AB109" s="67"/>
      <c r="AC109" s="67"/>
      <c r="AD109" s="67"/>
      <c r="AE109" s="67"/>
      <c r="AF109" s="67"/>
      <c r="AG109" s="67"/>
      <c r="AH109" s="67"/>
      <c r="AI109" s="67"/>
      <c r="AJ109" s="67"/>
      <c r="AK109" s="67"/>
      <c r="AL109" s="67"/>
      <c r="AM109" s="67"/>
      <c r="AN109" s="67"/>
      <c r="AO109" s="67"/>
    </row>
    <row r="110" spans="3:41" x14ac:dyDescent="0.25">
      <c r="C110" s="94" t="str">
        <f t="shared" si="22"/>
        <v/>
      </c>
      <c r="D110" s="95">
        <v>12</v>
      </c>
      <c r="E110" s="96" t="str">
        <f>BUNDESLIGA!F133&amp;IF(OR(BUNDESLIGA!G133="",BUNDESLIGA!H133=""),"",IF(BUNDESLIGA!G133&gt;BUNDESLIGA!H133,"",IF(BUNDESLIGA!G133&lt;BUNDESLIGA!H133,"","")))</f>
        <v>1. FC Union Berlin</v>
      </c>
      <c r="F110" s="96" t="str">
        <f>BUNDESLIGA!I133&amp;IF(OR(BUNDESLIGA!G133="",BUNDESLIGA!H133=""),"",IF(BUNDESLIGA!G133&lt;BUNDESLIGA!H133,"",IF(BUNDESLIGA!G133&gt;BUNDESLIGA!H133,"","")))</f>
        <v>Bor. Mönchengladbach</v>
      </c>
      <c r="G110" s="96" t="str">
        <f>IF(BUNDESLIGA!G133&lt;&gt;"",BUNDESLIGA!G133&amp;" - "&amp;BUNDESLIGA!H133,"")</f>
        <v>2 - 0</v>
      </c>
      <c r="H110" s="96" t="str">
        <f t="shared" si="28"/>
        <v>1. FC Union Berlin-Bor. Mönchengladbach</v>
      </c>
      <c r="I110" s="96" t="str">
        <f t="shared" si="23"/>
        <v>2</v>
      </c>
      <c r="J110" s="97" t="str">
        <f t="shared" si="24"/>
        <v>0</v>
      </c>
      <c r="L110" s="67">
        <f t="shared" si="25"/>
        <v>3</v>
      </c>
      <c r="M110" s="67">
        <f t="shared" si="26"/>
        <v>0</v>
      </c>
      <c r="O110" s="67" t="str">
        <f t="shared" si="27"/>
        <v/>
      </c>
      <c r="P110" s="67"/>
      <c r="Q110" s="67"/>
      <c r="R110" s="67"/>
      <c r="S110" s="67"/>
      <c r="T110" s="67"/>
      <c r="U110" s="67"/>
      <c r="V110" s="67"/>
      <c r="W110" s="67"/>
      <c r="X110" s="67"/>
      <c r="Y110" s="67"/>
      <c r="Z110" s="67"/>
      <c r="AA110" s="67"/>
      <c r="AB110" s="67"/>
      <c r="AC110" s="67"/>
      <c r="AD110" s="67"/>
      <c r="AE110" s="67"/>
      <c r="AF110" s="67"/>
      <c r="AG110" s="67"/>
      <c r="AH110" s="67"/>
      <c r="AI110" s="67"/>
      <c r="AJ110" s="67"/>
      <c r="AK110" s="67"/>
      <c r="AL110" s="67"/>
      <c r="AM110" s="67"/>
      <c r="AN110" s="67"/>
      <c r="AO110" s="67"/>
    </row>
    <row r="111" spans="3:41" x14ac:dyDescent="0.25">
      <c r="C111" s="94" t="str">
        <f t="shared" si="22"/>
        <v/>
      </c>
      <c r="D111" s="95">
        <v>13</v>
      </c>
      <c r="E111" s="96" t="str">
        <f>BUNDESLIGA!F136&amp;IF(OR(BUNDESLIGA!G136="",BUNDESLIGA!H136=""),"",IF(BUNDESLIGA!G136&gt;BUNDESLIGA!H136,"",IF(BUNDESLIGA!G136&lt;BUNDESLIGA!H136,"","")))</f>
        <v>Bayern München</v>
      </c>
      <c r="F111" s="96" t="str">
        <f>BUNDESLIGA!I136&amp;IF(OR(BUNDESLIGA!G136="",BUNDESLIGA!H136=""),"",IF(BUNDESLIGA!G136&lt;BUNDESLIGA!H136,"",IF(BUNDESLIGA!G136&gt;BUNDESLIGA!H136,"","")))</f>
        <v>Bayer Leverkusen</v>
      </c>
      <c r="G111" s="96" t="str">
        <f>IF(BUNDESLIGA!G136&lt;&gt;"",BUNDESLIGA!G136&amp;" - "&amp;BUNDESLIGA!H136,"")</f>
        <v>1 - 2</v>
      </c>
      <c r="H111" s="96" t="str">
        <f t="shared" si="28"/>
        <v>Bayern München-Bayer Leverkusen</v>
      </c>
      <c r="I111" s="96" t="str">
        <f t="shared" si="23"/>
        <v>1</v>
      </c>
      <c r="J111" s="97" t="str">
        <f t="shared" si="24"/>
        <v>2</v>
      </c>
      <c r="L111" s="67">
        <f t="shared" si="25"/>
        <v>0</v>
      </c>
      <c r="M111" s="67">
        <f t="shared" si="26"/>
        <v>3</v>
      </c>
      <c r="O111" s="67" t="str">
        <f t="shared" si="27"/>
        <v/>
      </c>
      <c r="P111" s="67"/>
      <c r="Q111" s="67"/>
      <c r="R111" s="67"/>
      <c r="S111" s="67"/>
      <c r="T111" s="67"/>
      <c r="U111" s="67"/>
      <c r="V111" s="67"/>
      <c r="W111" s="67"/>
      <c r="X111" s="67"/>
      <c r="Y111" s="67"/>
      <c r="Z111" s="67"/>
      <c r="AA111" s="67"/>
      <c r="AB111" s="67"/>
      <c r="AC111" s="67"/>
      <c r="AD111" s="67"/>
      <c r="AE111" s="67"/>
      <c r="AF111" s="67"/>
      <c r="AG111" s="67"/>
      <c r="AH111" s="67"/>
      <c r="AI111" s="67"/>
      <c r="AJ111" s="67"/>
      <c r="AK111" s="67"/>
      <c r="AL111" s="67"/>
      <c r="AM111" s="67"/>
      <c r="AN111" s="67"/>
      <c r="AO111" s="67"/>
    </row>
    <row r="112" spans="3:41" x14ac:dyDescent="0.25">
      <c r="C112" s="94" t="str">
        <f t="shared" si="22"/>
        <v/>
      </c>
      <c r="D112" s="95">
        <v>13</v>
      </c>
      <c r="E112" s="96" t="str">
        <f>BUNDESLIGA!F137&amp;IF(OR(BUNDESLIGA!G137="",BUNDESLIGA!H137=""),"",IF(BUNDESLIGA!G137&gt;BUNDESLIGA!H137,"",IF(BUNDESLIGA!G137&lt;BUNDESLIGA!H137,"","")))</f>
        <v>Bor. Mönchengladbach</v>
      </c>
      <c r="F112" s="96" t="str">
        <f>BUNDESLIGA!I137&amp;IF(OR(BUNDESLIGA!G137="",BUNDESLIGA!H137=""),"",IF(BUNDESLIGA!G137&lt;BUNDESLIGA!H137,"",IF(BUNDESLIGA!G137&gt;BUNDESLIGA!H137,"","")))</f>
        <v>SC Freiburg</v>
      </c>
      <c r="G112" s="96" t="str">
        <f>IF(BUNDESLIGA!G137&lt;&gt;"",BUNDESLIGA!G137&amp;" - "&amp;BUNDESLIGA!H137,"")</f>
        <v>4 - 2</v>
      </c>
      <c r="H112" s="96" t="str">
        <f t="shared" si="28"/>
        <v>Bor. Mönchengladbach-SC Freiburg</v>
      </c>
      <c r="I112" s="96" t="str">
        <f t="shared" si="23"/>
        <v>4</v>
      </c>
      <c r="J112" s="97" t="str">
        <f t="shared" si="24"/>
        <v>2</v>
      </c>
      <c r="L112" s="67">
        <f t="shared" si="25"/>
        <v>3</v>
      </c>
      <c r="M112" s="67">
        <f t="shared" si="26"/>
        <v>0</v>
      </c>
      <c r="O112" s="67" t="str">
        <f t="shared" si="27"/>
        <v/>
      </c>
      <c r="P112" s="67"/>
      <c r="Q112" s="67"/>
      <c r="R112" s="67"/>
      <c r="S112" s="67"/>
      <c r="T112" s="67"/>
      <c r="U112" s="67"/>
      <c r="V112" s="67"/>
      <c r="W112" s="67"/>
      <c r="X112" s="67"/>
      <c r="Y112" s="67"/>
      <c r="Z112" s="67"/>
      <c r="AA112" s="67"/>
      <c r="AB112" s="67"/>
      <c r="AC112" s="67"/>
      <c r="AD112" s="67"/>
      <c r="AE112" s="67"/>
      <c r="AF112" s="67"/>
      <c r="AG112" s="67"/>
      <c r="AH112" s="67"/>
      <c r="AI112" s="67"/>
      <c r="AJ112" s="67"/>
      <c r="AK112" s="67"/>
      <c r="AL112" s="67"/>
      <c r="AM112" s="67"/>
      <c r="AN112" s="67"/>
      <c r="AO112" s="67"/>
    </row>
    <row r="113" spans="3:41" x14ac:dyDescent="0.25">
      <c r="C113" s="94" t="str">
        <f t="shared" si="22"/>
        <v/>
      </c>
      <c r="D113" s="95">
        <v>13</v>
      </c>
      <c r="E113" s="96" t="str">
        <f>BUNDESLIGA!F138&amp;IF(OR(BUNDESLIGA!G138="",BUNDESLIGA!H138=""),"",IF(BUNDESLIGA!G138&gt;BUNDESLIGA!H138,"",IF(BUNDESLIGA!G138&lt;BUNDESLIGA!H138,"","")))</f>
        <v>VfL Wolfsburg</v>
      </c>
      <c r="F113" s="96" t="str">
        <f>BUNDESLIGA!I138&amp;IF(OR(BUNDESLIGA!G138="",BUNDESLIGA!H138=""),"",IF(BUNDESLIGA!G138&lt;BUNDESLIGA!H138,"",IF(BUNDESLIGA!G138&gt;BUNDESLIGA!H138,"","")))</f>
        <v>Werder Bremen</v>
      </c>
      <c r="G113" s="96" t="str">
        <f>IF(BUNDESLIGA!G138&lt;&gt;"",BUNDESLIGA!G138&amp;" - "&amp;BUNDESLIGA!H138,"")</f>
        <v>2 - 3</v>
      </c>
      <c r="H113" s="96" t="str">
        <f t="shared" si="28"/>
        <v>VfL Wolfsburg-Werder Bremen</v>
      </c>
      <c r="I113" s="96" t="str">
        <f t="shared" si="23"/>
        <v>2</v>
      </c>
      <c r="J113" s="97" t="str">
        <f t="shared" si="24"/>
        <v>3</v>
      </c>
      <c r="L113" s="67">
        <f t="shared" si="25"/>
        <v>0</v>
      </c>
      <c r="M113" s="67">
        <f t="shared" si="26"/>
        <v>3</v>
      </c>
      <c r="O113" s="67" t="str">
        <f t="shared" si="27"/>
        <v/>
      </c>
      <c r="P113" s="67"/>
      <c r="Q113" s="67"/>
      <c r="R113" s="67"/>
      <c r="S113" s="67"/>
      <c r="T113" s="67"/>
      <c r="U113" s="67"/>
      <c r="V113" s="67"/>
      <c r="W113" s="67"/>
      <c r="X113" s="67"/>
      <c r="Y113" s="67"/>
      <c r="Z113" s="67"/>
      <c r="AA113" s="67"/>
      <c r="AB113" s="67"/>
      <c r="AC113" s="67"/>
      <c r="AD113" s="67"/>
      <c r="AE113" s="67"/>
      <c r="AF113" s="67"/>
      <c r="AG113" s="67"/>
      <c r="AH113" s="67"/>
      <c r="AI113" s="67"/>
      <c r="AJ113" s="67"/>
      <c r="AK113" s="67"/>
      <c r="AL113" s="67"/>
      <c r="AM113" s="67"/>
      <c r="AN113" s="67"/>
      <c r="AO113" s="67"/>
    </row>
    <row r="114" spans="3:41" x14ac:dyDescent="0.25">
      <c r="C114" s="94" t="str">
        <f t="shared" si="22"/>
        <v/>
      </c>
      <c r="D114" s="95">
        <v>13</v>
      </c>
      <c r="E114" s="96" t="str">
        <f>BUNDESLIGA!F139&amp;IF(OR(BUNDESLIGA!G139="",BUNDESLIGA!H139=""),"",IF(BUNDESLIGA!G139&gt;BUNDESLIGA!H139,"",IF(BUNDESLIGA!G139&lt;BUNDESLIGA!H139,"","")))</f>
        <v>1899 Hoffenheim</v>
      </c>
      <c r="F114" s="96" t="str">
        <f>BUNDESLIGA!I139&amp;IF(OR(BUNDESLIGA!G139="",BUNDESLIGA!H139=""),"",IF(BUNDESLIGA!G139&lt;BUNDESLIGA!H139,"",IF(BUNDESLIGA!G139&gt;BUNDESLIGA!H139,"","")))</f>
        <v>Fortuna Düsseldorf</v>
      </c>
      <c r="G114" s="96" t="str">
        <f>IF(BUNDESLIGA!G139&lt;&gt;"",BUNDESLIGA!G139&amp;" - "&amp;BUNDESLIGA!H139,"")</f>
        <v>1 - 1</v>
      </c>
      <c r="H114" s="96" t="str">
        <f t="shared" si="28"/>
        <v>1899 Hoffenheim-Fortuna Düsseldorf</v>
      </c>
      <c r="I114" s="96" t="str">
        <f t="shared" si="23"/>
        <v>1</v>
      </c>
      <c r="J114" s="97" t="str">
        <f t="shared" si="24"/>
        <v>1</v>
      </c>
      <c r="L114" s="67">
        <f t="shared" si="25"/>
        <v>1</v>
      </c>
      <c r="M114" s="67">
        <f t="shared" si="26"/>
        <v>1</v>
      </c>
      <c r="O114" s="67" t="str">
        <f t="shared" si="27"/>
        <v/>
      </c>
      <c r="P114" s="67"/>
      <c r="Q114" s="67"/>
      <c r="R114" s="67"/>
      <c r="S114" s="67"/>
      <c r="T114" s="67"/>
      <c r="U114" s="67"/>
      <c r="V114" s="67"/>
      <c r="W114" s="67"/>
      <c r="X114" s="67"/>
      <c r="Y114" s="67"/>
      <c r="Z114" s="67"/>
      <c r="AA114" s="67"/>
      <c r="AB114" s="67"/>
      <c r="AC114" s="67"/>
      <c r="AD114" s="67"/>
      <c r="AE114" s="67"/>
      <c r="AF114" s="67"/>
      <c r="AG114" s="67"/>
      <c r="AH114" s="67"/>
      <c r="AI114" s="67"/>
      <c r="AJ114" s="67"/>
      <c r="AK114" s="67"/>
      <c r="AL114" s="67"/>
      <c r="AM114" s="67"/>
      <c r="AN114" s="67"/>
      <c r="AO114" s="67"/>
    </row>
    <row r="115" spans="3:41" x14ac:dyDescent="0.25">
      <c r="C115" s="94" t="str">
        <f t="shared" si="22"/>
        <v/>
      </c>
      <c r="D115" s="95">
        <v>13</v>
      </c>
      <c r="E115" s="96" t="str">
        <f>BUNDESLIGA!F140&amp;IF(OR(BUNDESLIGA!G140="",BUNDESLIGA!H140=""),"",IF(BUNDESLIGA!G140&gt;BUNDESLIGA!H140,"",IF(BUNDESLIGA!G140&lt;BUNDESLIGA!H140,"","")))</f>
        <v>Hertha BSC</v>
      </c>
      <c r="F115" s="96" t="str">
        <f>BUNDESLIGA!I140&amp;IF(OR(BUNDESLIGA!G140="",BUNDESLIGA!H140=""),"",IF(BUNDESLIGA!G140&lt;BUNDESLIGA!H140,"",IF(BUNDESLIGA!G140&gt;BUNDESLIGA!H140,"","")))</f>
        <v>Borussia Dortmund</v>
      </c>
      <c r="G115" s="96" t="str">
        <f>IF(BUNDESLIGA!G140&lt;&gt;"",BUNDESLIGA!G140&amp;" - "&amp;BUNDESLIGA!H140,"")</f>
        <v>1 - 2</v>
      </c>
      <c r="H115" s="96" t="str">
        <f t="shared" si="28"/>
        <v>Hertha BSC-Borussia Dortmund</v>
      </c>
      <c r="I115" s="96" t="str">
        <f t="shared" si="23"/>
        <v>1</v>
      </c>
      <c r="J115" s="97" t="str">
        <f t="shared" si="24"/>
        <v>2</v>
      </c>
      <c r="L115" s="67">
        <f t="shared" si="25"/>
        <v>0</v>
      </c>
      <c r="M115" s="67">
        <f t="shared" si="26"/>
        <v>3</v>
      </c>
      <c r="O115" s="67" t="str">
        <f t="shared" si="27"/>
        <v/>
      </c>
      <c r="P115" s="67"/>
      <c r="Q115" s="67"/>
      <c r="R115" s="67"/>
      <c r="S115" s="67"/>
      <c r="T115" s="67"/>
      <c r="U115" s="67"/>
      <c r="V115" s="67"/>
      <c r="W115" s="67"/>
      <c r="X115" s="67"/>
      <c r="Y115" s="67"/>
      <c r="Z115" s="67"/>
      <c r="AA115" s="67"/>
      <c r="AB115" s="67"/>
      <c r="AC115" s="67"/>
      <c r="AD115" s="67"/>
      <c r="AE115" s="67"/>
      <c r="AF115" s="67"/>
      <c r="AG115" s="67"/>
      <c r="AH115" s="67"/>
      <c r="AI115" s="67"/>
      <c r="AJ115" s="67"/>
      <c r="AK115" s="67"/>
      <c r="AL115" s="67"/>
      <c r="AM115" s="67"/>
      <c r="AN115" s="67"/>
      <c r="AO115" s="67"/>
    </row>
    <row r="116" spans="3:41" x14ac:dyDescent="0.25">
      <c r="C116" s="94" t="str">
        <f t="shared" si="22"/>
        <v/>
      </c>
      <c r="D116" s="95">
        <v>13</v>
      </c>
      <c r="E116" s="96" t="str">
        <f>BUNDESLIGA!F141&amp;IF(OR(BUNDESLIGA!G141="",BUNDESLIGA!H141=""),"",IF(BUNDESLIGA!G141&gt;BUNDESLIGA!H141,"",IF(BUNDESLIGA!G141&lt;BUNDESLIGA!H141,"","")))</f>
        <v>1. FSV Mainz 05</v>
      </c>
      <c r="F116" s="96" t="str">
        <f>BUNDESLIGA!I141&amp;IF(OR(BUNDESLIGA!G141="",BUNDESLIGA!H141=""),"",IF(BUNDESLIGA!G141&lt;BUNDESLIGA!H141,"",IF(BUNDESLIGA!G141&gt;BUNDESLIGA!H141,"","")))</f>
        <v>Eintracht Frankfurt</v>
      </c>
      <c r="G116" s="96" t="str">
        <f>IF(BUNDESLIGA!G141&lt;&gt;"",BUNDESLIGA!G141&amp;" - "&amp;BUNDESLIGA!H141,"")</f>
        <v>2 - 1</v>
      </c>
      <c r="H116" s="96" t="str">
        <f t="shared" si="28"/>
        <v>1. FSV Mainz 05-Eintracht Frankfurt</v>
      </c>
      <c r="I116" s="96" t="str">
        <f t="shared" si="23"/>
        <v>2</v>
      </c>
      <c r="J116" s="97" t="str">
        <f t="shared" si="24"/>
        <v>1</v>
      </c>
      <c r="L116" s="67">
        <f t="shared" si="25"/>
        <v>3</v>
      </c>
      <c r="M116" s="67">
        <f t="shared" si="26"/>
        <v>0</v>
      </c>
      <c r="O116" s="67" t="str">
        <f t="shared" si="27"/>
        <v/>
      </c>
      <c r="P116" s="67"/>
      <c r="Q116" s="67"/>
      <c r="R116" s="67"/>
      <c r="S116" s="67"/>
      <c r="T116" s="67"/>
      <c r="U116" s="67"/>
      <c r="V116" s="67"/>
      <c r="W116" s="67"/>
      <c r="X116" s="67"/>
      <c r="Y116" s="67"/>
      <c r="Z116" s="67"/>
      <c r="AA116" s="67"/>
      <c r="AB116" s="67"/>
      <c r="AC116" s="67"/>
      <c r="AD116" s="67"/>
      <c r="AE116" s="67"/>
      <c r="AF116" s="67"/>
      <c r="AG116" s="67"/>
      <c r="AH116" s="67"/>
      <c r="AI116" s="67"/>
      <c r="AJ116" s="67"/>
      <c r="AK116" s="67"/>
      <c r="AL116" s="67"/>
      <c r="AM116" s="67"/>
      <c r="AN116" s="67"/>
      <c r="AO116" s="67"/>
    </row>
    <row r="117" spans="3:41" x14ac:dyDescent="0.25">
      <c r="C117" s="94" t="str">
        <f t="shared" si="22"/>
        <v/>
      </c>
      <c r="D117" s="95">
        <v>13</v>
      </c>
      <c r="E117" s="96" t="str">
        <f>BUNDESLIGA!F142&amp;IF(OR(BUNDESLIGA!G142="",BUNDESLIGA!H142=""),"",IF(BUNDESLIGA!G142&gt;BUNDESLIGA!H142,"",IF(BUNDESLIGA!G142&lt;BUNDESLIGA!H142,"","")))</f>
        <v>FC Schalke 04</v>
      </c>
      <c r="F117" s="96" t="str">
        <f>BUNDESLIGA!I142&amp;IF(OR(BUNDESLIGA!G142="",BUNDESLIGA!H142=""),"",IF(BUNDESLIGA!G142&lt;BUNDESLIGA!H142,"",IF(BUNDESLIGA!G142&gt;BUNDESLIGA!H142,"","")))</f>
        <v>1. FC Union Berlin</v>
      </c>
      <c r="G117" s="96" t="str">
        <f>IF(BUNDESLIGA!G142&lt;&gt;"",BUNDESLIGA!G142&amp;" - "&amp;BUNDESLIGA!H142,"")</f>
        <v>2 - 1</v>
      </c>
      <c r="H117" s="96" t="str">
        <f t="shared" si="28"/>
        <v>FC Schalke 04-1. FC Union Berlin</v>
      </c>
      <c r="I117" s="96" t="str">
        <f t="shared" si="23"/>
        <v>2</v>
      </c>
      <c r="J117" s="97" t="str">
        <f t="shared" si="24"/>
        <v>1</v>
      </c>
      <c r="L117" s="67">
        <f t="shared" si="25"/>
        <v>3</v>
      </c>
      <c r="M117" s="67">
        <f t="shared" si="26"/>
        <v>0</v>
      </c>
      <c r="O117" s="67" t="str">
        <f t="shared" si="27"/>
        <v/>
      </c>
      <c r="P117" s="67"/>
      <c r="Q117" s="67"/>
      <c r="R117" s="67"/>
      <c r="S117" s="67"/>
      <c r="T117" s="67"/>
      <c r="U117" s="67"/>
      <c r="V117" s="67"/>
      <c r="W117" s="67"/>
      <c r="X117" s="67"/>
      <c r="Y117" s="67"/>
      <c r="Z117" s="67"/>
      <c r="AA117" s="67"/>
      <c r="AB117" s="67"/>
      <c r="AC117" s="67"/>
      <c r="AD117" s="67"/>
      <c r="AE117" s="67"/>
      <c r="AF117" s="67"/>
      <c r="AG117" s="67"/>
      <c r="AH117" s="67"/>
      <c r="AI117" s="67"/>
      <c r="AJ117" s="67"/>
      <c r="AK117" s="67"/>
      <c r="AL117" s="67"/>
      <c r="AM117" s="67"/>
      <c r="AN117" s="67"/>
      <c r="AO117" s="67"/>
    </row>
    <row r="118" spans="3:41" x14ac:dyDescent="0.25">
      <c r="C118" s="94">
        <f t="shared" si="22"/>
        <v>13</v>
      </c>
      <c r="D118" s="95">
        <v>13</v>
      </c>
      <c r="E118" s="96" t="str">
        <f>BUNDESLIGA!F143&amp;IF(OR(BUNDESLIGA!G143="",BUNDESLIGA!H143=""),"",IF(BUNDESLIGA!G143&gt;BUNDESLIGA!H143,"",IF(BUNDESLIGA!G143&lt;BUNDESLIGA!H143,"","")))</f>
        <v>1. FC Köln</v>
      </c>
      <c r="F118" s="96" t="str">
        <f>BUNDESLIGA!I143&amp;IF(OR(BUNDESLIGA!G143="",BUNDESLIGA!H143=""),"",IF(BUNDESLIGA!G143&lt;BUNDESLIGA!H143,"",IF(BUNDESLIGA!G143&gt;BUNDESLIGA!H143,"","")))</f>
        <v>FC Augsburg</v>
      </c>
      <c r="G118" s="96" t="str">
        <f>IF(BUNDESLIGA!G143&lt;&gt;"",BUNDESLIGA!G143&amp;" - "&amp;BUNDESLIGA!H143,"")</f>
        <v>1 - 1</v>
      </c>
      <c r="H118" s="96" t="str">
        <f t="shared" si="28"/>
        <v>1. FC Köln-FC Augsburg</v>
      </c>
      <c r="I118" s="96" t="str">
        <f t="shared" si="23"/>
        <v>1</v>
      </c>
      <c r="J118" s="97" t="str">
        <f t="shared" si="24"/>
        <v>1</v>
      </c>
      <c r="L118" s="67">
        <f t="shared" si="25"/>
        <v>1</v>
      </c>
      <c r="M118" s="67">
        <f t="shared" si="26"/>
        <v>1</v>
      </c>
      <c r="O118" s="67">
        <f t="shared" si="27"/>
        <v>118</v>
      </c>
      <c r="P118" s="67"/>
      <c r="Q118" s="67"/>
      <c r="R118" s="67"/>
      <c r="S118" s="67"/>
      <c r="T118" s="67"/>
      <c r="U118" s="67"/>
      <c r="V118" s="67"/>
      <c r="W118" s="67"/>
      <c r="X118" s="67"/>
      <c r="Y118" s="67"/>
      <c r="Z118" s="67"/>
      <c r="AA118" s="67"/>
      <c r="AB118" s="67"/>
      <c r="AC118" s="67"/>
      <c r="AD118" s="67"/>
      <c r="AE118" s="67"/>
      <c r="AF118" s="67"/>
      <c r="AG118" s="67"/>
      <c r="AH118" s="67"/>
      <c r="AI118" s="67"/>
      <c r="AJ118" s="67"/>
      <c r="AK118" s="67"/>
      <c r="AL118" s="67"/>
      <c r="AM118" s="67"/>
      <c r="AN118" s="67"/>
      <c r="AO118" s="67"/>
    </row>
    <row r="119" spans="3:41" x14ac:dyDescent="0.25">
      <c r="C119" s="94" t="str">
        <f t="shared" si="22"/>
        <v/>
      </c>
      <c r="D119" s="95">
        <v>13</v>
      </c>
      <c r="E119" s="96" t="str">
        <f>BUNDESLIGA!F144&amp;IF(OR(BUNDESLIGA!G144="",BUNDESLIGA!H144=""),"",IF(BUNDESLIGA!G144&gt;BUNDESLIGA!H144,"",IF(BUNDESLIGA!G144&lt;BUNDESLIGA!H144,"","")))</f>
        <v>SC Paderborn 07</v>
      </c>
      <c r="F119" s="96" t="str">
        <f>BUNDESLIGA!I144&amp;IF(OR(BUNDESLIGA!G144="",BUNDESLIGA!H144=""),"",IF(BUNDESLIGA!G144&lt;BUNDESLIGA!H144,"",IF(BUNDESLIGA!G144&gt;BUNDESLIGA!H144,"","")))</f>
        <v>RB Leipzig</v>
      </c>
      <c r="G119" s="96" t="str">
        <f>IF(BUNDESLIGA!G144&lt;&gt;"",BUNDESLIGA!G144&amp;" - "&amp;BUNDESLIGA!H144,"")</f>
        <v>2 - 3</v>
      </c>
      <c r="H119" s="96" t="str">
        <f t="shared" si="28"/>
        <v>SC Paderborn 07-RB Leipzig</v>
      </c>
      <c r="I119" s="96" t="str">
        <f t="shared" si="23"/>
        <v>2</v>
      </c>
      <c r="J119" s="97" t="str">
        <f t="shared" si="24"/>
        <v>3</v>
      </c>
      <c r="L119" s="67">
        <f t="shared" si="25"/>
        <v>0</v>
      </c>
      <c r="M119" s="67">
        <f t="shared" si="26"/>
        <v>3</v>
      </c>
      <c r="O119" s="67" t="str">
        <f t="shared" si="27"/>
        <v/>
      </c>
      <c r="P119" s="67"/>
      <c r="Q119" s="67"/>
      <c r="R119" s="67"/>
      <c r="S119" s="67"/>
      <c r="T119" s="67"/>
      <c r="U119" s="67"/>
      <c r="V119" s="67"/>
      <c r="W119" s="67"/>
      <c r="X119" s="67"/>
      <c r="Y119" s="67"/>
      <c r="Z119" s="67"/>
      <c r="AA119" s="67"/>
      <c r="AB119" s="67"/>
      <c r="AC119" s="67"/>
      <c r="AD119" s="67"/>
      <c r="AE119" s="67"/>
      <c r="AF119" s="67"/>
      <c r="AG119" s="67"/>
      <c r="AH119" s="67"/>
      <c r="AI119" s="67"/>
      <c r="AJ119" s="67"/>
      <c r="AK119" s="67"/>
      <c r="AL119" s="67"/>
      <c r="AM119" s="67"/>
      <c r="AN119" s="67"/>
      <c r="AO119" s="67"/>
    </row>
    <row r="120" spans="3:41" x14ac:dyDescent="0.25">
      <c r="C120" s="94" t="str">
        <f t="shared" si="22"/>
        <v/>
      </c>
      <c r="D120" s="95">
        <v>14</v>
      </c>
      <c r="E120" s="96" t="str">
        <f>BUNDESLIGA!F147&amp;IF(OR(BUNDESLIGA!G147="",BUNDESLIGA!H147=""),"",IF(BUNDESLIGA!G147&gt;BUNDESLIGA!H147,"",IF(BUNDESLIGA!G147&lt;BUNDESLIGA!H147,"","")))</f>
        <v>Borussia Dortmund</v>
      </c>
      <c r="F120" s="96" t="str">
        <f>BUNDESLIGA!I147&amp;IF(OR(BUNDESLIGA!G147="",BUNDESLIGA!H147=""),"",IF(BUNDESLIGA!G147&lt;BUNDESLIGA!H147,"",IF(BUNDESLIGA!G147&gt;BUNDESLIGA!H147,"","")))</f>
        <v>Fortuna Düsseldorf</v>
      </c>
      <c r="G120" s="96" t="str">
        <f>IF(BUNDESLIGA!G147&lt;&gt;"",BUNDESLIGA!G147&amp;" - "&amp;BUNDESLIGA!H147,"")</f>
        <v>5 - 0</v>
      </c>
      <c r="H120" s="96" t="str">
        <f t="shared" si="28"/>
        <v>Borussia Dortmund-Fortuna Düsseldorf</v>
      </c>
      <c r="I120" s="96" t="str">
        <f t="shared" si="23"/>
        <v>5</v>
      </c>
      <c r="J120" s="97" t="str">
        <f t="shared" si="24"/>
        <v>0</v>
      </c>
      <c r="L120" s="67">
        <f t="shared" si="25"/>
        <v>3</v>
      </c>
      <c r="M120" s="67">
        <f t="shared" si="26"/>
        <v>0</v>
      </c>
      <c r="O120" s="67" t="str">
        <f t="shared" si="27"/>
        <v/>
      </c>
      <c r="P120" s="67"/>
      <c r="Q120" s="67"/>
      <c r="R120" s="67"/>
      <c r="S120" s="67"/>
      <c r="T120" s="67"/>
      <c r="U120" s="67"/>
      <c r="V120" s="67"/>
      <c r="W120" s="67"/>
      <c r="X120" s="67"/>
      <c r="Y120" s="67"/>
      <c r="Z120" s="67"/>
      <c r="AA120" s="67"/>
      <c r="AB120" s="67"/>
      <c r="AC120" s="67"/>
      <c r="AD120" s="67"/>
      <c r="AE120" s="67"/>
      <c r="AF120" s="67"/>
      <c r="AG120" s="67"/>
      <c r="AH120" s="67"/>
      <c r="AI120" s="67"/>
      <c r="AJ120" s="67"/>
      <c r="AK120" s="67"/>
      <c r="AL120" s="67"/>
      <c r="AM120" s="67"/>
      <c r="AN120" s="67"/>
      <c r="AO120" s="67"/>
    </row>
    <row r="121" spans="3:41" x14ac:dyDescent="0.25">
      <c r="C121" s="94" t="str">
        <f t="shared" si="22"/>
        <v/>
      </c>
      <c r="D121" s="95">
        <v>14</v>
      </c>
      <c r="E121" s="96" t="str">
        <f>BUNDESLIGA!F148&amp;IF(OR(BUNDESLIGA!G148="",BUNDESLIGA!H148=""),"",IF(BUNDESLIGA!G148&gt;BUNDESLIGA!H148,"",IF(BUNDESLIGA!G148&lt;BUNDESLIGA!H148,"","")))</f>
        <v>RB Leipzig</v>
      </c>
      <c r="F121" s="96" t="str">
        <f>BUNDESLIGA!I148&amp;IF(OR(BUNDESLIGA!G148="",BUNDESLIGA!H148=""),"",IF(BUNDESLIGA!G148&lt;BUNDESLIGA!H148,"",IF(BUNDESLIGA!G148&gt;BUNDESLIGA!H148,"","")))</f>
        <v>1899 Hoffenheim</v>
      </c>
      <c r="G121" s="96" t="str">
        <f>IF(BUNDESLIGA!G148&lt;&gt;"",BUNDESLIGA!G148&amp;" - "&amp;BUNDESLIGA!H148,"")</f>
        <v>3 - 1</v>
      </c>
      <c r="H121" s="96" t="str">
        <f t="shared" si="28"/>
        <v>RB Leipzig-1899 Hoffenheim</v>
      </c>
      <c r="I121" s="96" t="str">
        <f t="shared" si="23"/>
        <v>3</v>
      </c>
      <c r="J121" s="97" t="str">
        <f t="shared" si="24"/>
        <v>1</v>
      </c>
      <c r="L121" s="67">
        <f t="shared" si="25"/>
        <v>3</v>
      </c>
      <c r="M121" s="67">
        <f t="shared" si="26"/>
        <v>0</v>
      </c>
      <c r="O121" s="67" t="str">
        <f t="shared" si="27"/>
        <v/>
      </c>
      <c r="P121" s="67"/>
      <c r="Q121" s="67"/>
      <c r="R121" s="67"/>
      <c r="S121" s="67"/>
      <c r="T121" s="67"/>
      <c r="U121" s="67"/>
      <c r="V121" s="67"/>
      <c r="W121" s="67"/>
      <c r="X121" s="67"/>
      <c r="Y121" s="67"/>
      <c r="Z121" s="67"/>
      <c r="AA121" s="67"/>
      <c r="AB121" s="67"/>
      <c r="AC121" s="67"/>
      <c r="AD121" s="67"/>
      <c r="AE121" s="67"/>
      <c r="AF121" s="67"/>
      <c r="AG121" s="67"/>
      <c r="AH121" s="67"/>
      <c r="AI121" s="67"/>
      <c r="AJ121" s="67"/>
      <c r="AK121" s="67"/>
      <c r="AL121" s="67"/>
      <c r="AM121" s="67"/>
      <c r="AN121" s="67"/>
      <c r="AO121" s="67"/>
    </row>
    <row r="122" spans="3:41" x14ac:dyDescent="0.25">
      <c r="C122" s="94" t="str">
        <f t="shared" si="22"/>
        <v/>
      </c>
      <c r="D122" s="95">
        <v>14</v>
      </c>
      <c r="E122" s="96" t="str">
        <f>BUNDESLIGA!F149&amp;IF(OR(BUNDESLIGA!G149="",BUNDESLIGA!H149=""),"",IF(BUNDESLIGA!G149&gt;BUNDESLIGA!H149,"",IF(BUNDESLIGA!G149&lt;BUNDESLIGA!H149,"","")))</f>
        <v>Bayer Leverkusen</v>
      </c>
      <c r="F122" s="96" t="str">
        <f>BUNDESLIGA!I149&amp;IF(OR(BUNDESLIGA!G149="",BUNDESLIGA!H149=""),"",IF(BUNDESLIGA!G149&lt;BUNDESLIGA!H149,"",IF(BUNDESLIGA!G149&gt;BUNDESLIGA!H149,"","")))</f>
        <v>FC Schalke 04</v>
      </c>
      <c r="G122" s="96" t="str">
        <f>IF(BUNDESLIGA!G149&lt;&gt;"",BUNDESLIGA!G149&amp;" - "&amp;BUNDESLIGA!H149,"")</f>
        <v>2 - 1</v>
      </c>
      <c r="H122" s="96" t="str">
        <f t="shared" si="28"/>
        <v>Bayer Leverkusen-FC Schalke 04</v>
      </c>
      <c r="I122" s="96" t="str">
        <f t="shared" si="23"/>
        <v>2</v>
      </c>
      <c r="J122" s="97" t="str">
        <f t="shared" si="24"/>
        <v>1</v>
      </c>
      <c r="L122" s="67">
        <f t="shared" si="25"/>
        <v>3</v>
      </c>
      <c r="M122" s="67">
        <f t="shared" si="26"/>
        <v>0</v>
      </c>
      <c r="O122" s="67" t="str">
        <f t="shared" si="27"/>
        <v/>
      </c>
      <c r="P122" s="67"/>
      <c r="Q122" s="67"/>
      <c r="R122" s="67"/>
      <c r="S122" s="67"/>
      <c r="T122" s="67"/>
      <c r="U122" s="67"/>
      <c r="V122" s="67"/>
      <c r="W122" s="67"/>
      <c r="X122" s="67"/>
      <c r="Y122" s="67"/>
      <c r="Z122" s="67"/>
      <c r="AA122" s="67"/>
      <c r="AB122" s="67"/>
      <c r="AC122" s="67"/>
      <c r="AD122" s="67"/>
      <c r="AE122" s="67"/>
      <c r="AF122" s="67"/>
      <c r="AG122" s="67"/>
      <c r="AH122" s="67"/>
      <c r="AI122" s="67"/>
      <c r="AJ122" s="67"/>
      <c r="AK122" s="67"/>
      <c r="AL122" s="67"/>
      <c r="AM122" s="67"/>
      <c r="AN122" s="67"/>
      <c r="AO122" s="67"/>
    </row>
    <row r="123" spans="3:41" x14ac:dyDescent="0.25">
      <c r="C123" s="94" t="str">
        <f t="shared" si="22"/>
        <v/>
      </c>
      <c r="D123" s="95">
        <v>14</v>
      </c>
      <c r="E123" s="96" t="str">
        <f>BUNDESLIGA!F150&amp;IF(OR(BUNDESLIGA!G150="",BUNDESLIGA!H150=""),"",IF(BUNDESLIGA!G150&gt;BUNDESLIGA!H150,"",IF(BUNDESLIGA!G150&lt;BUNDESLIGA!H150,"","")))</f>
        <v>Bor. Mönchengladbach</v>
      </c>
      <c r="F123" s="96" t="str">
        <f>BUNDESLIGA!I150&amp;IF(OR(BUNDESLIGA!G150="",BUNDESLIGA!H150=""),"",IF(BUNDESLIGA!G150&lt;BUNDESLIGA!H150,"",IF(BUNDESLIGA!G150&gt;BUNDESLIGA!H150,"","")))</f>
        <v>Bayern München</v>
      </c>
      <c r="G123" s="96" t="str">
        <f>IF(BUNDESLIGA!G150&lt;&gt;"",BUNDESLIGA!G150&amp;" - "&amp;BUNDESLIGA!H150,"")</f>
        <v>2 - 1</v>
      </c>
      <c r="H123" s="96" t="str">
        <f t="shared" si="28"/>
        <v>Bor. Mönchengladbach-Bayern München</v>
      </c>
      <c r="I123" s="96" t="str">
        <f t="shared" si="23"/>
        <v>2</v>
      </c>
      <c r="J123" s="97" t="str">
        <f t="shared" si="24"/>
        <v>1</v>
      </c>
      <c r="L123" s="67">
        <f t="shared" si="25"/>
        <v>3</v>
      </c>
      <c r="M123" s="67">
        <f t="shared" si="26"/>
        <v>0</v>
      </c>
      <c r="O123" s="67" t="str">
        <f t="shared" si="27"/>
        <v/>
      </c>
      <c r="P123" s="67"/>
      <c r="Q123" s="67"/>
      <c r="R123" s="67"/>
      <c r="S123" s="67"/>
      <c r="T123" s="67"/>
      <c r="U123" s="67"/>
      <c r="V123" s="67"/>
      <c r="W123" s="67"/>
      <c r="X123" s="67"/>
      <c r="Y123" s="67"/>
      <c r="Z123" s="67"/>
      <c r="AA123" s="67"/>
      <c r="AB123" s="67"/>
      <c r="AC123" s="67"/>
      <c r="AD123" s="67"/>
      <c r="AE123" s="67"/>
      <c r="AF123" s="67"/>
      <c r="AG123" s="67"/>
      <c r="AH123" s="67"/>
      <c r="AI123" s="67"/>
      <c r="AJ123" s="67"/>
      <c r="AK123" s="67"/>
      <c r="AL123" s="67"/>
      <c r="AM123" s="67"/>
      <c r="AN123" s="67"/>
      <c r="AO123" s="67"/>
    </row>
    <row r="124" spans="3:41" x14ac:dyDescent="0.25">
      <c r="C124" s="94" t="str">
        <f t="shared" si="22"/>
        <v/>
      </c>
      <c r="D124" s="95">
        <v>14</v>
      </c>
      <c r="E124" s="96" t="str">
        <f>BUNDESLIGA!F151&amp;IF(OR(BUNDESLIGA!G151="",BUNDESLIGA!H151=""),"",IF(BUNDESLIGA!G151&gt;BUNDESLIGA!H151,"",IF(BUNDESLIGA!G151&lt;BUNDESLIGA!H151,"","")))</f>
        <v>Eintracht Frankfurt</v>
      </c>
      <c r="F124" s="96" t="str">
        <f>BUNDESLIGA!I151&amp;IF(OR(BUNDESLIGA!G151="",BUNDESLIGA!H151=""),"",IF(BUNDESLIGA!G151&lt;BUNDESLIGA!H151,"",IF(BUNDESLIGA!G151&gt;BUNDESLIGA!H151,"","")))</f>
        <v>Hertha BSC</v>
      </c>
      <c r="G124" s="96" t="str">
        <f>IF(BUNDESLIGA!G151&lt;&gt;"",BUNDESLIGA!G151&amp;" - "&amp;BUNDESLIGA!H151,"")</f>
        <v>2 - 2</v>
      </c>
      <c r="H124" s="96" t="str">
        <f t="shared" si="28"/>
        <v>Eintracht Frankfurt-Hertha BSC</v>
      </c>
      <c r="I124" s="96" t="str">
        <f t="shared" si="23"/>
        <v>2</v>
      </c>
      <c r="J124" s="97" t="str">
        <f t="shared" si="24"/>
        <v>2</v>
      </c>
      <c r="L124" s="67">
        <f t="shared" si="25"/>
        <v>1</v>
      </c>
      <c r="M124" s="67">
        <f t="shared" si="26"/>
        <v>1</v>
      </c>
      <c r="O124" s="67" t="str">
        <f t="shared" si="27"/>
        <v/>
      </c>
      <c r="P124" s="67"/>
      <c r="Q124" s="67"/>
      <c r="R124" s="67"/>
      <c r="S124" s="67"/>
      <c r="T124" s="67"/>
      <c r="U124" s="67"/>
      <c r="V124" s="67"/>
      <c r="W124" s="67"/>
      <c r="X124" s="67"/>
      <c r="Y124" s="67"/>
      <c r="Z124" s="67"/>
      <c r="AA124" s="67"/>
      <c r="AB124" s="67"/>
      <c r="AC124" s="67"/>
      <c r="AD124" s="67"/>
      <c r="AE124" s="67"/>
      <c r="AF124" s="67"/>
      <c r="AG124" s="67"/>
      <c r="AH124" s="67"/>
      <c r="AI124" s="67"/>
      <c r="AJ124" s="67"/>
      <c r="AK124" s="67"/>
      <c r="AL124" s="67"/>
      <c r="AM124" s="67"/>
      <c r="AN124" s="67"/>
      <c r="AO124" s="67"/>
    </row>
    <row r="125" spans="3:41" x14ac:dyDescent="0.25">
      <c r="C125" s="94" t="str">
        <f t="shared" si="22"/>
        <v/>
      </c>
      <c r="D125" s="95">
        <v>14</v>
      </c>
      <c r="E125" s="96" t="str">
        <f>BUNDESLIGA!F152&amp;IF(OR(BUNDESLIGA!G152="",BUNDESLIGA!H152=""),"",IF(BUNDESLIGA!G152&gt;BUNDESLIGA!H152,"",IF(BUNDESLIGA!G152&lt;BUNDESLIGA!H152,"","")))</f>
        <v>Werder Bremen</v>
      </c>
      <c r="F125" s="96" t="str">
        <f>BUNDESLIGA!I152&amp;IF(OR(BUNDESLIGA!G152="",BUNDESLIGA!H152=""),"",IF(BUNDESLIGA!G152&lt;BUNDESLIGA!H152,"",IF(BUNDESLIGA!G152&gt;BUNDESLIGA!H152,"","")))</f>
        <v>SC Paderborn 07</v>
      </c>
      <c r="G125" s="96" t="str">
        <f>IF(BUNDESLIGA!G152&lt;&gt;"",BUNDESLIGA!G152&amp;" - "&amp;BUNDESLIGA!H152,"")</f>
        <v>0 - 1</v>
      </c>
      <c r="H125" s="96" t="str">
        <f t="shared" si="28"/>
        <v>Werder Bremen-SC Paderborn 07</v>
      </c>
      <c r="I125" s="96" t="str">
        <f t="shared" si="23"/>
        <v>0</v>
      </c>
      <c r="J125" s="97" t="str">
        <f t="shared" si="24"/>
        <v>1</v>
      </c>
      <c r="L125" s="67">
        <f t="shared" si="25"/>
        <v>0</v>
      </c>
      <c r="M125" s="67">
        <f t="shared" si="26"/>
        <v>3</v>
      </c>
      <c r="O125" s="67" t="str">
        <f t="shared" si="27"/>
        <v/>
      </c>
      <c r="P125" s="67"/>
      <c r="Q125" s="67"/>
      <c r="R125" s="67"/>
      <c r="S125" s="67"/>
      <c r="T125" s="67"/>
      <c r="U125" s="67"/>
      <c r="V125" s="67"/>
      <c r="W125" s="67"/>
      <c r="X125" s="67"/>
      <c r="Y125" s="67"/>
      <c r="Z125" s="67"/>
      <c r="AA125" s="67"/>
      <c r="AB125" s="67"/>
      <c r="AC125" s="67"/>
      <c r="AD125" s="67"/>
      <c r="AE125" s="67"/>
      <c r="AF125" s="67"/>
      <c r="AG125" s="67"/>
      <c r="AH125" s="67"/>
      <c r="AI125" s="67"/>
      <c r="AJ125" s="67"/>
      <c r="AK125" s="67"/>
      <c r="AL125" s="67"/>
      <c r="AM125" s="67"/>
      <c r="AN125" s="67"/>
      <c r="AO125" s="67"/>
    </row>
    <row r="126" spans="3:41" x14ac:dyDescent="0.25">
      <c r="C126" s="94" t="str">
        <f t="shared" si="22"/>
        <v/>
      </c>
      <c r="D126" s="95">
        <v>14</v>
      </c>
      <c r="E126" s="96" t="str">
        <f>BUNDESLIGA!F153&amp;IF(OR(BUNDESLIGA!G153="",BUNDESLIGA!H153=""),"",IF(BUNDESLIGA!G153&gt;BUNDESLIGA!H153,"",IF(BUNDESLIGA!G153&lt;BUNDESLIGA!H153,"","")))</f>
        <v>SC Freiburg</v>
      </c>
      <c r="F126" s="96" t="str">
        <f>BUNDESLIGA!I153&amp;IF(OR(BUNDESLIGA!G153="",BUNDESLIGA!H153=""),"",IF(BUNDESLIGA!G153&lt;BUNDESLIGA!H153,"",IF(BUNDESLIGA!G153&gt;BUNDESLIGA!H153,"","")))</f>
        <v>VfL Wolfsburg</v>
      </c>
      <c r="G126" s="96" t="str">
        <f>IF(BUNDESLIGA!G153&lt;&gt;"",BUNDESLIGA!G153&amp;" - "&amp;BUNDESLIGA!H153,"")</f>
        <v>1 - 0</v>
      </c>
      <c r="H126" s="96" t="str">
        <f t="shared" si="28"/>
        <v>SC Freiburg-VfL Wolfsburg</v>
      </c>
      <c r="I126" s="96" t="str">
        <f t="shared" si="23"/>
        <v>1</v>
      </c>
      <c r="J126" s="97" t="str">
        <f t="shared" si="24"/>
        <v>0</v>
      </c>
      <c r="L126" s="67">
        <f t="shared" si="25"/>
        <v>3</v>
      </c>
      <c r="M126" s="67">
        <f t="shared" si="26"/>
        <v>0</v>
      </c>
      <c r="O126" s="67" t="str">
        <f t="shared" si="27"/>
        <v/>
      </c>
      <c r="P126" s="67"/>
      <c r="Q126" s="67"/>
      <c r="R126" s="67"/>
      <c r="S126" s="67"/>
      <c r="T126" s="67"/>
      <c r="U126" s="67"/>
      <c r="V126" s="67"/>
      <c r="W126" s="67"/>
      <c r="X126" s="67"/>
      <c r="Y126" s="67"/>
      <c r="Z126" s="67"/>
      <c r="AA126" s="67"/>
      <c r="AB126" s="67"/>
      <c r="AC126" s="67"/>
      <c r="AD126" s="67"/>
      <c r="AE126" s="67"/>
      <c r="AF126" s="67"/>
      <c r="AG126" s="67"/>
      <c r="AH126" s="67"/>
      <c r="AI126" s="67"/>
      <c r="AJ126" s="67"/>
      <c r="AK126" s="67"/>
      <c r="AL126" s="67"/>
      <c r="AM126" s="67"/>
      <c r="AN126" s="67"/>
      <c r="AO126" s="67"/>
    </row>
    <row r="127" spans="3:41" x14ac:dyDescent="0.25">
      <c r="C127" s="94">
        <f t="shared" si="22"/>
        <v>14</v>
      </c>
      <c r="D127" s="95">
        <v>14</v>
      </c>
      <c r="E127" s="96" t="str">
        <f>BUNDESLIGA!F154&amp;IF(OR(BUNDESLIGA!G154="",BUNDESLIGA!H154=""),"",IF(BUNDESLIGA!G154&gt;BUNDESLIGA!H154,"",IF(BUNDESLIGA!G154&lt;BUNDESLIGA!H154,"","")))</f>
        <v>FC Augsburg</v>
      </c>
      <c r="F127" s="96" t="str">
        <f>BUNDESLIGA!I154&amp;IF(OR(BUNDESLIGA!G154="",BUNDESLIGA!H154=""),"",IF(BUNDESLIGA!G154&lt;BUNDESLIGA!H154,"",IF(BUNDESLIGA!G154&gt;BUNDESLIGA!H154,"","")))</f>
        <v>1. FSV Mainz 05</v>
      </c>
      <c r="G127" s="96" t="str">
        <f>IF(BUNDESLIGA!G154&lt;&gt;"",BUNDESLIGA!G154&amp;" - "&amp;BUNDESLIGA!H154,"")</f>
        <v>2 - 1</v>
      </c>
      <c r="H127" s="96" t="str">
        <f t="shared" si="28"/>
        <v>FC Augsburg-1. FSV Mainz 05</v>
      </c>
      <c r="I127" s="96" t="str">
        <f t="shared" si="23"/>
        <v>2</v>
      </c>
      <c r="J127" s="97" t="str">
        <f t="shared" si="24"/>
        <v>1</v>
      </c>
      <c r="L127" s="67">
        <f t="shared" si="25"/>
        <v>3</v>
      </c>
      <c r="M127" s="67">
        <f t="shared" si="26"/>
        <v>0</v>
      </c>
      <c r="O127" s="67">
        <f t="shared" si="27"/>
        <v>127</v>
      </c>
      <c r="P127" s="67"/>
      <c r="Q127" s="67"/>
      <c r="R127" s="67"/>
      <c r="S127" s="67"/>
      <c r="T127" s="67"/>
      <c r="U127" s="67"/>
      <c r="V127" s="67"/>
      <c r="W127" s="67"/>
      <c r="X127" s="67"/>
      <c r="Y127" s="67"/>
      <c r="Z127" s="67"/>
      <c r="AA127" s="67"/>
      <c r="AB127" s="67"/>
      <c r="AC127" s="67"/>
      <c r="AD127" s="67"/>
      <c r="AE127" s="67"/>
      <c r="AF127" s="67"/>
      <c r="AG127" s="67"/>
      <c r="AH127" s="67"/>
      <c r="AI127" s="67"/>
      <c r="AJ127" s="67"/>
      <c r="AK127" s="67"/>
      <c r="AL127" s="67"/>
      <c r="AM127" s="67"/>
      <c r="AN127" s="67"/>
      <c r="AO127" s="67"/>
    </row>
    <row r="128" spans="3:41" x14ac:dyDescent="0.25">
      <c r="C128" s="94" t="str">
        <f t="shared" si="22"/>
        <v/>
      </c>
      <c r="D128" s="95">
        <v>14</v>
      </c>
      <c r="E128" s="96" t="str">
        <f>BUNDESLIGA!F155&amp;IF(OR(BUNDESLIGA!G155="",BUNDESLIGA!H155=""),"",IF(BUNDESLIGA!G155&gt;BUNDESLIGA!H155,"",IF(BUNDESLIGA!G155&lt;BUNDESLIGA!H155,"","")))</f>
        <v>1. FC Union Berlin</v>
      </c>
      <c r="F128" s="96" t="str">
        <f>BUNDESLIGA!I155&amp;IF(OR(BUNDESLIGA!G155="",BUNDESLIGA!H155=""),"",IF(BUNDESLIGA!G155&lt;BUNDESLIGA!H155,"",IF(BUNDESLIGA!G155&gt;BUNDESLIGA!H155,"","")))</f>
        <v>1. FC Köln</v>
      </c>
      <c r="G128" s="96" t="str">
        <f>IF(BUNDESLIGA!G155&lt;&gt;"",BUNDESLIGA!G155&amp;" - "&amp;BUNDESLIGA!H155,"")</f>
        <v>2 - 0</v>
      </c>
      <c r="H128" s="96" t="str">
        <f t="shared" si="28"/>
        <v>1. FC Union Berlin-1. FC Köln</v>
      </c>
      <c r="I128" s="96" t="str">
        <f t="shared" si="23"/>
        <v>2</v>
      </c>
      <c r="J128" s="97" t="str">
        <f t="shared" si="24"/>
        <v>0</v>
      </c>
      <c r="L128" s="67">
        <f t="shared" si="25"/>
        <v>3</v>
      </c>
      <c r="M128" s="67">
        <f t="shared" si="26"/>
        <v>0</v>
      </c>
      <c r="O128" s="67" t="str">
        <f t="shared" si="27"/>
        <v/>
      </c>
      <c r="P128" s="67"/>
      <c r="Q128" s="67"/>
      <c r="R128" s="67"/>
      <c r="S128" s="67"/>
      <c r="T128" s="67"/>
      <c r="U128" s="67"/>
      <c r="V128" s="67"/>
      <c r="W128" s="67"/>
      <c r="X128" s="67"/>
      <c r="Y128" s="67"/>
      <c r="Z128" s="67"/>
      <c r="AA128" s="67"/>
      <c r="AB128" s="67"/>
      <c r="AC128" s="67"/>
      <c r="AD128" s="67"/>
      <c r="AE128" s="67"/>
      <c r="AF128" s="67"/>
      <c r="AG128" s="67"/>
      <c r="AH128" s="67"/>
      <c r="AI128" s="67"/>
      <c r="AJ128" s="67"/>
      <c r="AK128" s="67"/>
      <c r="AL128" s="67"/>
      <c r="AM128" s="67"/>
      <c r="AN128" s="67"/>
      <c r="AO128" s="67"/>
    </row>
    <row r="129" spans="3:41" x14ac:dyDescent="0.25">
      <c r="C129" s="94" t="str">
        <f t="shared" si="22"/>
        <v/>
      </c>
      <c r="D129" s="95">
        <v>15</v>
      </c>
      <c r="E129" s="96" t="str">
        <f>BUNDESLIGA!F158&amp;IF(OR(BUNDESLIGA!G158="",BUNDESLIGA!H158=""),"",IF(BUNDESLIGA!G158&gt;BUNDESLIGA!H158,"",IF(BUNDESLIGA!G158&lt;BUNDESLIGA!H158,"","")))</f>
        <v>Bayern München</v>
      </c>
      <c r="F129" s="96" t="str">
        <f>BUNDESLIGA!I158&amp;IF(OR(BUNDESLIGA!G158="",BUNDESLIGA!H158=""),"",IF(BUNDESLIGA!G158&lt;BUNDESLIGA!H158,"",IF(BUNDESLIGA!G158&gt;BUNDESLIGA!H158,"","")))</f>
        <v>Werder Bremen</v>
      </c>
      <c r="G129" s="96" t="str">
        <f>IF(BUNDESLIGA!G158&lt;&gt;"",BUNDESLIGA!G158&amp;" - "&amp;BUNDESLIGA!H158,"")</f>
        <v>6 - 1</v>
      </c>
      <c r="H129" s="96" t="str">
        <f t="shared" si="28"/>
        <v>Bayern München-Werder Bremen</v>
      </c>
      <c r="I129" s="96" t="str">
        <f t="shared" si="23"/>
        <v>6</v>
      </c>
      <c r="J129" s="97" t="str">
        <f t="shared" si="24"/>
        <v>1</v>
      </c>
      <c r="L129" s="67">
        <f t="shared" si="25"/>
        <v>3</v>
      </c>
      <c r="M129" s="67">
        <f t="shared" si="26"/>
        <v>0</v>
      </c>
      <c r="O129" s="67" t="str">
        <f t="shared" si="27"/>
        <v/>
      </c>
      <c r="P129" s="67"/>
      <c r="Q129" s="67"/>
      <c r="R129" s="67"/>
      <c r="S129" s="67"/>
      <c r="T129" s="67"/>
      <c r="U129" s="67"/>
      <c r="V129" s="67"/>
      <c r="W129" s="67"/>
      <c r="X129" s="67"/>
      <c r="Y129" s="67"/>
      <c r="Z129" s="67"/>
      <c r="AA129" s="67"/>
      <c r="AB129" s="67"/>
      <c r="AC129" s="67"/>
      <c r="AD129" s="67"/>
      <c r="AE129" s="67"/>
      <c r="AF129" s="67"/>
      <c r="AG129" s="67"/>
      <c r="AH129" s="67"/>
      <c r="AI129" s="67"/>
      <c r="AJ129" s="67"/>
      <c r="AK129" s="67"/>
      <c r="AL129" s="67"/>
      <c r="AM129" s="67"/>
      <c r="AN129" s="67"/>
      <c r="AO129" s="67"/>
    </row>
    <row r="130" spans="3:41" x14ac:dyDescent="0.25">
      <c r="C130" s="94" t="str">
        <f t="shared" si="22"/>
        <v/>
      </c>
      <c r="D130" s="95">
        <v>15</v>
      </c>
      <c r="E130" s="96" t="str">
        <f>BUNDESLIGA!F159&amp;IF(OR(BUNDESLIGA!G159="",BUNDESLIGA!H159=""),"",IF(BUNDESLIGA!G159&gt;BUNDESLIGA!H159,"",IF(BUNDESLIGA!G159&lt;BUNDESLIGA!H159,"","")))</f>
        <v>VfL Wolfsburg</v>
      </c>
      <c r="F130" s="96" t="str">
        <f>BUNDESLIGA!I159&amp;IF(OR(BUNDESLIGA!G159="",BUNDESLIGA!H159=""),"",IF(BUNDESLIGA!G159&lt;BUNDESLIGA!H159,"",IF(BUNDESLIGA!G159&gt;BUNDESLIGA!H159,"","")))</f>
        <v>Bor. Mönchengladbach</v>
      </c>
      <c r="G130" s="96" t="str">
        <f>IF(BUNDESLIGA!G159&lt;&gt;"",BUNDESLIGA!G159&amp;" - "&amp;BUNDESLIGA!H159,"")</f>
        <v>2 - 1</v>
      </c>
      <c r="H130" s="96" t="str">
        <f t="shared" si="28"/>
        <v>VfL Wolfsburg-Bor. Mönchengladbach</v>
      </c>
      <c r="I130" s="96" t="str">
        <f t="shared" si="23"/>
        <v>2</v>
      </c>
      <c r="J130" s="97" t="str">
        <f t="shared" si="24"/>
        <v>1</v>
      </c>
      <c r="L130" s="67">
        <f t="shared" si="25"/>
        <v>3</v>
      </c>
      <c r="M130" s="67">
        <f t="shared" si="26"/>
        <v>0</v>
      </c>
      <c r="O130" s="67" t="str">
        <f t="shared" si="27"/>
        <v/>
      </c>
      <c r="P130" s="67"/>
      <c r="Q130" s="67"/>
      <c r="R130" s="67"/>
      <c r="S130" s="67"/>
      <c r="T130" s="67"/>
      <c r="U130" s="67"/>
      <c r="V130" s="67"/>
      <c r="W130" s="67"/>
      <c r="X130" s="67"/>
      <c r="Y130" s="67"/>
      <c r="Z130" s="67"/>
      <c r="AA130" s="67"/>
      <c r="AB130" s="67"/>
      <c r="AC130" s="67"/>
      <c r="AD130" s="67"/>
      <c r="AE130" s="67"/>
      <c r="AF130" s="67"/>
      <c r="AG130" s="67"/>
      <c r="AH130" s="67"/>
      <c r="AI130" s="67"/>
      <c r="AJ130" s="67"/>
      <c r="AK130" s="67"/>
      <c r="AL130" s="67"/>
      <c r="AM130" s="67"/>
      <c r="AN130" s="67"/>
      <c r="AO130" s="67"/>
    </row>
    <row r="131" spans="3:41" x14ac:dyDescent="0.25">
      <c r="C131" s="94">
        <f t="shared" ref="C131:C194" si="29">IF(E131=$Q$2,D131,IF(F131=$Q$2,D131,""))</f>
        <v>15</v>
      </c>
      <c r="D131" s="95">
        <v>15</v>
      </c>
      <c r="E131" s="96" t="str">
        <f>BUNDESLIGA!F160&amp;IF(OR(BUNDESLIGA!G160="",BUNDESLIGA!H160=""),"",IF(BUNDESLIGA!G160&gt;BUNDESLIGA!H160,"",IF(BUNDESLIGA!G160&lt;BUNDESLIGA!H160,"","")))</f>
        <v>1899 Hoffenheim</v>
      </c>
      <c r="F131" s="96" t="str">
        <f>BUNDESLIGA!I160&amp;IF(OR(BUNDESLIGA!G160="",BUNDESLIGA!H160=""),"",IF(BUNDESLIGA!G160&lt;BUNDESLIGA!H160,"",IF(BUNDESLIGA!G160&gt;BUNDESLIGA!H160,"","")))</f>
        <v>FC Augsburg</v>
      </c>
      <c r="G131" s="96" t="str">
        <f>IF(BUNDESLIGA!G160&lt;&gt;"",BUNDESLIGA!G160&amp;" - "&amp;BUNDESLIGA!H160,"")</f>
        <v>2 - 4</v>
      </c>
      <c r="H131" s="96" t="str">
        <f t="shared" si="28"/>
        <v>1899 Hoffenheim-FC Augsburg</v>
      </c>
      <c r="I131" s="96" t="str">
        <f t="shared" ref="I131:I194" si="30">LEFT(G131,1)</f>
        <v>2</v>
      </c>
      <c r="J131" s="97" t="str">
        <f t="shared" ref="J131:J194" si="31">RIGHT(G131,1)</f>
        <v>4</v>
      </c>
      <c r="L131" s="67">
        <f t="shared" ref="L131:L194" si="32">IF(I131="","",IF(I131&gt;J131,3,IF(I131=J131,1,0)))</f>
        <v>0</v>
      </c>
      <c r="M131" s="67">
        <f t="shared" ref="M131:M194" si="33">IF(J131="","",IF(J131&gt;I131,3,IF(J131=I131,1,0)))</f>
        <v>3</v>
      </c>
      <c r="O131" s="67">
        <f t="shared" ref="O131:O194" si="34">IF(AND($I131&lt;&gt;"",ISNUMBER(SEARCH("-"&amp;$Q$2,$H131))+ISNUMBER(SEARCH($Q$2&amp;"-",$H131))),ROW(),"")</f>
        <v>131</v>
      </c>
      <c r="P131" s="67"/>
      <c r="Q131" s="67"/>
      <c r="R131" s="67"/>
      <c r="S131" s="67"/>
      <c r="T131" s="67"/>
      <c r="U131" s="67"/>
      <c r="V131" s="67"/>
      <c r="W131" s="67"/>
      <c r="X131" s="67"/>
      <c r="Y131" s="67"/>
      <c r="Z131" s="67"/>
      <c r="AA131" s="67"/>
      <c r="AB131" s="67"/>
      <c r="AC131" s="67"/>
      <c r="AD131" s="67"/>
      <c r="AE131" s="67"/>
      <c r="AF131" s="67"/>
      <c r="AG131" s="67"/>
      <c r="AH131" s="67"/>
      <c r="AI131" s="67"/>
      <c r="AJ131" s="67"/>
      <c r="AK131" s="67"/>
      <c r="AL131" s="67"/>
      <c r="AM131" s="67"/>
      <c r="AN131" s="67"/>
      <c r="AO131" s="67"/>
    </row>
    <row r="132" spans="3:41" x14ac:dyDescent="0.25">
      <c r="C132" s="94" t="str">
        <f t="shared" si="29"/>
        <v/>
      </c>
      <c r="D132" s="95">
        <v>15</v>
      </c>
      <c r="E132" s="96" t="str">
        <f>BUNDESLIGA!F161&amp;IF(OR(BUNDESLIGA!G161="",BUNDESLIGA!H161=""),"",IF(BUNDESLIGA!G161&gt;BUNDESLIGA!H161,"",IF(BUNDESLIGA!G161&lt;BUNDESLIGA!H161,"","")))</f>
        <v>Fortuna Düsseldorf</v>
      </c>
      <c r="F132" s="96" t="str">
        <f>BUNDESLIGA!I161&amp;IF(OR(BUNDESLIGA!G161="",BUNDESLIGA!H161=""),"",IF(BUNDESLIGA!G161&lt;BUNDESLIGA!H161,"",IF(BUNDESLIGA!G161&gt;BUNDESLIGA!H161,"","")))</f>
        <v>RB Leipzig</v>
      </c>
      <c r="G132" s="96" t="str">
        <f>IF(BUNDESLIGA!G161&lt;&gt;"",BUNDESLIGA!G161&amp;" - "&amp;BUNDESLIGA!H161,"")</f>
        <v>0 - 3</v>
      </c>
      <c r="H132" s="96" t="str">
        <f t="shared" si="28"/>
        <v>Fortuna Düsseldorf-RB Leipzig</v>
      </c>
      <c r="I132" s="96" t="str">
        <f t="shared" si="30"/>
        <v>0</v>
      </c>
      <c r="J132" s="97" t="str">
        <f t="shared" si="31"/>
        <v>3</v>
      </c>
      <c r="L132" s="67">
        <f t="shared" si="32"/>
        <v>0</v>
      </c>
      <c r="M132" s="67">
        <f t="shared" si="33"/>
        <v>3</v>
      </c>
      <c r="O132" s="67" t="str">
        <f t="shared" si="34"/>
        <v/>
      </c>
      <c r="P132" s="67"/>
      <c r="Q132" s="67"/>
      <c r="R132" s="67"/>
      <c r="S132" s="67"/>
      <c r="T132" s="67"/>
      <c r="U132" s="67"/>
      <c r="V132" s="67"/>
      <c r="W132" s="67"/>
      <c r="X132" s="67"/>
      <c r="Y132" s="67"/>
      <c r="Z132" s="67"/>
      <c r="AA132" s="67"/>
      <c r="AB132" s="67"/>
      <c r="AC132" s="67"/>
      <c r="AD132" s="67"/>
      <c r="AE132" s="67"/>
      <c r="AF132" s="67"/>
      <c r="AG132" s="67"/>
      <c r="AH132" s="67"/>
      <c r="AI132" s="67"/>
      <c r="AJ132" s="67"/>
      <c r="AK132" s="67"/>
      <c r="AL132" s="67"/>
      <c r="AM132" s="67"/>
      <c r="AN132" s="67"/>
      <c r="AO132" s="67"/>
    </row>
    <row r="133" spans="3:41" x14ac:dyDescent="0.25">
      <c r="C133" s="94" t="str">
        <f t="shared" si="29"/>
        <v/>
      </c>
      <c r="D133" s="95">
        <v>15</v>
      </c>
      <c r="E133" s="96" t="str">
        <f>BUNDESLIGA!F162&amp;IF(OR(BUNDESLIGA!G162="",BUNDESLIGA!H162=""),"",IF(BUNDESLIGA!G162&gt;BUNDESLIGA!H162,"",IF(BUNDESLIGA!G162&lt;BUNDESLIGA!H162,"","")))</f>
        <v>Hertha BSC</v>
      </c>
      <c r="F133" s="96" t="str">
        <f>BUNDESLIGA!I162&amp;IF(OR(BUNDESLIGA!G162="",BUNDESLIGA!H162=""),"",IF(BUNDESLIGA!G162&lt;BUNDESLIGA!H162,"",IF(BUNDESLIGA!G162&gt;BUNDESLIGA!H162,"","")))</f>
        <v>SC Freiburg</v>
      </c>
      <c r="G133" s="96" t="str">
        <f>IF(BUNDESLIGA!G162&lt;&gt;"",BUNDESLIGA!G162&amp;" - "&amp;BUNDESLIGA!H162,"")</f>
        <v>1 - 0</v>
      </c>
      <c r="H133" s="96" t="str">
        <f t="shared" ref="H133:H196" si="35">(E133&amp;"-"&amp;F133)</f>
        <v>Hertha BSC-SC Freiburg</v>
      </c>
      <c r="I133" s="96" t="str">
        <f t="shared" si="30"/>
        <v>1</v>
      </c>
      <c r="J133" s="97" t="str">
        <f t="shared" si="31"/>
        <v>0</v>
      </c>
      <c r="L133" s="67">
        <f t="shared" si="32"/>
        <v>3</v>
      </c>
      <c r="M133" s="67">
        <f t="shared" si="33"/>
        <v>0</v>
      </c>
      <c r="O133" s="67" t="str">
        <f t="shared" si="34"/>
        <v/>
      </c>
      <c r="P133" s="67"/>
      <c r="Q133" s="67"/>
      <c r="R133" s="67"/>
      <c r="S133" s="67"/>
      <c r="T133" s="67"/>
      <c r="U133" s="67"/>
      <c r="V133" s="67"/>
      <c r="W133" s="67"/>
      <c r="X133" s="67"/>
      <c r="Y133" s="67"/>
      <c r="Z133" s="67"/>
      <c r="AA133" s="67"/>
      <c r="AB133" s="67"/>
      <c r="AC133" s="67"/>
      <c r="AD133" s="67"/>
      <c r="AE133" s="67"/>
      <c r="AF133" s="67"/>
      <c r="AG133" s="67"/>
      <c r="AH133" s="67"/>
      <c r="AI133" s="67"/>
      <c r="AJ133" s="67"/>
      <c r="AK133" s="67"/>
      <c r="AL133" s="67"/>
      <c r="AM133" s="67"/>
      <c r="AN133" s="67"/>
      <c r="AO133" s="67"/>
    </row>
    <row r="134" spans="3:41" x14ac:dyDescent="0.25">
      <c r="C134" s="94" t="str">
        <f t="shared" si="29"/>
        <v/>
      </c>
      <c r="D134" s="95">
        <v>15</v>
      </c>
      <c r="E134" s="96" t="str">
        <f>BUNDESLIGA!F163&amp;IF(OR(BUNDESLIGA!G163="",BUNDESLIGA!H163=""),"",IF(BUNDESLIGA!G163&gt;BUNDESLIGA!H163,"",IF(BUNDESLIGA!G163&lt;BUNDESLIGA!H163,"","")))</f>
        <v>1. FSV Mainz 05</v>
      </c>
      <c r="F134" s="96" t="str">
        <f>BUNDESLIGA!I163&amp;IF(OR(BUNDESLIGA!G163="",BUNDESLIGA!H163=""),"",IF(BUNDESLIGA!G163&lt;BUNDESLIGA!H163,"",IF(BUNDESLIGA!G163&gt;BUNDESLIGA!H163,"","")))</f>
        <v>Borussia Dortmund</v>
      </c>
      <c r="G134" s="96" t="str">
        <f>IF(BUNDESLIGA!G163&lt;&gt;"",BUNDESLIGA!G163&amp;" - "&amp;BUNDESLIGA!H163,"")</f>
        <v>0 - 4</v>
      </c>
      <c r="H134" s="96" t="str">
        <f t="shared" si="35"/>
        <v>1. FSV Mainz 05-Borussia Dortmund</v>
      </c>
      <c r="I134" s="96" t="str">
        <f t="shared" si="30"/>
        <v>0</v>
      </c>
      <c r="J134" s="97" t="str">
        <f t="shared" si="31"/>
        <v>4</v>
      </c>
      <c r="L134" s="67">
        <f t="shared" si="32"/>
        <v>0</v>
      </c>
      <c r="M134" s="67">
        <f t="shared" si="33"/>
        <v>3</v>
      </c>
      <c r="O134" s="67" t="str">
        <f t="shared" si="34"/>
        <v/>
      </c>
      <c r="P134" s="67"/>
      <c r="Q134" s="67"/>
      <c r="R134" s="67"/>
      <c r="S134" s="67"/>
      <c r="T134" s="67"/>
      <c r="U134" s="67"/>
      <c r="V134" s="67"/>
      <c r="W134" s="67"/>
      <c r="X134" s="67"/>
      <c r="Y134" s="67"/>
      <c r="Z134" s="67"/>
      <c r="AA134" s="67"/>
      <c r="AB134" s="67"/>
      <c r="AC134" s="67"/>
      <c r="AD134" s="67"/>
      <c r="AE134" s="67"/>
      <c r="AF134" s="67"/>
      <c r="AG134" s="67"/>
      <c r="AH134" s="67"/>
      <c r="AI134" s="67"/>
      <c r="AJ134" s="67"/>
      <c r="AK134" s="67"/>
      <c r="AL134" s="67"/>
      <c r="AM134" s="67"/>
      <c r="AN134" s="67"/>
      <c r="AO134" s="67"/>
    </row>
    <row r="135" spans="3:41" x14ac:dyDescent="0.25">
      <c r="C135" s="94" t="str">
        <f t="shared" si="29"/>
        <v/>
      </c>
      <c r="D135" s="95">
        <v>15</v>
      </c>
      <c r="E135" s="96" t="str">
        <f>BUNDESLIGA!F164&amp;IF(OR(BUNDESLIGA!G164="",BUNDESLIGA!H164=""),"",IF(BUNDESLIGA!G164&gt;BUNDESLIGA!H164,"",IF(BUNDESLIGA!G164&lt;BUNDESLIGA!H164,"","")))</f>
        <v>FC Schalke 04</v>
      </c>
      <c r="F135" s="96" t="str">
        <f>BUNDESLIGA!I164&amp;IF(OR(BUNDESLIGA!G164="",BUNDESLIGA!H164=""),"",IF(BUNDESLIGA!G164&lt;BUNDESLIGA!H164,"",IF(BUNDESLIGA!G164&gt;BUNDESLIGA!H164,"","")))</f>
        <v>Eintracht Frankfurt</v>
      </c>
      <c r="G135" s="96" t="str">
        <f>IF(BUNDESLIGA!G164&lt;&gt;"",BUNDESLIGA!G164&amp;" - "&amp;BUNDESLIGA!H164,"")</f>
        <v>1 - 0</v>
      </c>
      <c r="H135" s="96" t="str">
        <f t="shared" si="35"/>
        <v>FC Schalke 04-Eintracht Frankfurt</v>
      </c>
      <c r="I135" s="96" t="str">
        <f t="shared" si="30"/>
        <v>1</v>
      </c>
      <c r="J135" s="97" t="str">
        <f t="shared" si="31"/>
        <v>0</v>
      </c>
      <c r="L135" s="67">
        <f t="shared" si="32"/>
        <v>3</v>
      </c>
      <c r="M135" s="67">
        <f t="shared" si="33"/>
        <v>0</v>
      </c>
      <c r="O135" s="67" t="str">
        <f t="shared" si="34"/>
        <v/>
      </c>
      <c r="P135" s="67"/>
      <c r="Q135" s="67"/>
      <c r="R135" s="67"/>
      <c r="S135" s="67"/>
      <c r="T135" s="67"/>
      <c r="U135" s="67"/>
      <c r="V135" s="67"/>
      <c r="W135" s="67"/>
      <c r="X135" s="67"/>
      <c r="Y135" s="67"/>
      <c r="Z135" s="67"/>
      <c r="AA135" s="67"/>
      <c r="AB135" s="67"/>
      <c r="AC135" s="67"/>
      <c r="AD135" s="67"/>
      <c r="AE135" s="67"/>
      <c r="AF135" s="67"/>
      <c r="AG135" s="67"/>
      <c r="AH135" s="67"/>
      <c r="AI135" s="67"/>
      <c r="AJ135" s="67"/>
      <c r="AK135" s="67"/>
      <c r="AL135" s="67"/>
      <c r="AM135" s="67"/>
      <c r="AN135" s="67"/>
      <c r="AO135" s="67"/>
    </row>
    <row r="136" spans="3:41" x14ac:dyDescent="0.25">
      <c r="C136" s="94" t="str">
        <f t="shared" si="29"/>
        <v/>
      </c>
      <c r="D136" s="95">
        <v>15</v>
      </c>
      <c r="E136" s="96" t="str">
        <f>BUNDESLIGA!F165&amp;IF(OR(BUNDESLIGA!G165="",BUNDESLIGA!H165=""),"",IF(BUNDESLIGA!G165&gt;BUNDESLIGA!H165,"",IF(BUNDESLIGA!G165&lt;BUNDESLIGA!H165,"","")))</f>
        <v>1. FC Köln</v>
      </c>
      <c r="F136" s="96" t="str">
        <f>BUNDESLIGA!I165&amp;IF(OR(BUNDESLIGA!G165="",BUNDESLIGA!H165=""),"",IF(BUNDESLIGA!G165&lt;BUNDESLIGA!H165,"",IF(BUNDESLIGA!G165&gt;BUNDESLIGA!H165,"","")))</f>
        <v>Bayer Leverkusen</v>
      </c>
      <c r="G136" s="96" t="str">
        <f>IF(BUNDESLIGA!G165&lt;&gt;"",BUNDESLIGA!G165&amp;" - "&amp;BUNDESLIGA!H165,"")</f>
        <v>2 - 0</v>
      </c>
      <c r="H136" s="96" t="str">
        <f t="shared" si="35"/>
        <v>1. FC Köln-Bayer Leverkusen</v>
      </c>
      <c r="I136" s="96" t="str">
        <f t="shared" si="30"/>
        <v>2</v>
      </c>
      <c r="J136" s="97" t="str">
        <f t="shared" si="31"/>
        <v>0</v>
      </c>
      <c r="L136" s="67">
        <f t="shared" si="32"/>
        <v>3</v>
      </c>
      <c r="M136" s="67">
        <f t="shared" si="33"/>
        <v>0</v>
      </c>
      <c r="O136" s="67" t="str">
        <f t="shared" si="34"/>
        <v/>
      </c>
      <c r="P136" s="67"/>
      <c r="Q136" s="67"/>
      <c r="R136" s="67"/>
      <c r="S136" s="67"/>
      <c r="T136" s="67"/>
      <c r="U136" s="67"/>
      <c r="V136" s="67"/>
      <c r="W136" s="67"/>
      <c r="X136" s="67"/>
      <c r="Y136" s="67"/>
      <c r="Z136" s="67"/>
      <c r="AA136" s="67"/>
      <c r="AB136" s="67"/>
      <c r="AC136" s="67"/>
      <c r="AD136" s="67"/>
      <c r="AE136" s="67"/>
      <c r="AF136" s="67"/>
      <c r="AG136" s="67"/>
      <c r="AH136" s="67"/>
      <c r="AI136" s="67"/>
      <c r="AJ136" s="67"/>
      <c r="AK136" s="67"/>
      <c r="AL136" s="67"/>
      <c r="AM136" s="67"/>
      <c r="AN136" s="67"/>
      <c r="AO136" s="67"/>
    </row>
    <row r="137" spans="3:41" x14ac:dyDescent="0.25">
      <c r="C137" s="94" t="str">
        <f t="shared" si="29"/>
        <v/>
      </c>
      <c r="D137" s="95">
        <v>15</v>
      </c>
      <c r="E137" s="96" t="str">
        <f>BUNDESLIGA!F166&amp;IF(OR(BUNDESLIGA!G166="",BUNDESLIGA!H166=""),"",IF(BUNDESLIGA!G166&gt;BUNDESLIGA!H166,"",IF(BUNDESLIGA!G166&lt;BUNDESLIGA!H166,"","")))</f>
        <v>SC Paderborn 07</v>
      </c>
      <c r="F137" s="96" t="str">
        <f>BUNDESLIGA!I166&amp;IF(OR(BUNDESLIGA!G166="",BUNDESLIGA!H166=""),"",IF(BUNDESLIGA!G166&lt;BUNDESLIGA!H166,"",IF(BUNDESLIGA!G166&gt;BUNDESLIGA!H166,"","")))</f>
        <v>1. FC Union Berlin</v>
      </c>
      <c r="G137" s="96" t="str">
        <f>IF(BUNDESLIGA!G166&lt;&gt;"",BUNDESLIGA!G166&amp;" - "&amp;BUNDESLIGA!H166,"")</f>
        <v>1 - 1</v>
      </c>
      <c r="H137" s="96" t="str">
        <f t="shared" si="35"/>
        <v>SC Paderborn 07-1. FC Union Berlin</v>
      </c>
      <c r="I137" s="96" t="str">
        <f t="shared" si="30"/>
        <v>1</v>
      </c>
      <c r="J137" s="97" t="str">
        <f t="shared" si="31"/>
        <v>1</v>
      </c>
      <c r="L137" s="67">
        <f t="shared" si="32"/>
        <v>1</v>
      </c>
      <c r="M137" s="67">
        <f t="shared" si="33"/>
        <v>1</v>
      </c>
      <c r="O137" s="67" t="str">
        <f t="shared" si="34"/>
        <v/>
      </c>
      <c r="P137" s="67"/>
      <c r="Q137" s="67"/>
      <c r="R137" s="67"/>
      <c r="S137" s="67"/>
      <c r="T137" s="67"/>
      <c r="U137" s="67"/>
      <c r="V137" s="67"/>
      <c r="W137" s="67"/>
      <c r="X137" s="67"/>
      <c r="Y137" s="67"/>
      <c r="Z137" s="67"/>
      <c r="AA137" s="67"/>
      <c r="AB137" s="67"/>
      <c r="AC137" s="67"/>
      <c r="AD137" s="67"/>
      <c r="AE137" s="67"/>
      <c r="AF137" s="67"/>
      <c r="AG137" s="67"/>
      <c r="AH137" s="67"/>
      <c r="AI137" s="67"/>
      <c r="AJ137" s="67"/>
      <c r="AK137" s="67"/>
      <c r="AL137" s="67"/>
      <c r="AM137" s="67"/>
      <c r="AN137" s="67"/>
      <c r="AO137" s="67"/>
    </row>
    <row r="138" spans="3:41" x14ac:dyDescent="0.25">
      <c r="C138" s="94" t="str">
        <f t="shared" si="29"/>
        <v/>
      </c>
      <c r="D138" s="95">
        <v>16</v>
      </c>
      <c r="E138" s="96" t="str">
        <f>BUNDESLIGA!F169&amp;IF(OR(BUNDESLIGA!G169="",BUNDESLIGA!H169=""),"",IF(BUNDESLIGA!G169&gt;BUNDESLIGA!H169,"",IF(BUNDESLIGA!G169&lt;BUNDESLIGA!H169,"","")))</f>
        <v>Borussia Dortmund</v>
      </c>
      <c r="F138" s="96" t="str">
        <f>BUNDESLIGA!I169&amp;IF(OR(BUNDESLIGA!G169="",BUNDESLIGA!H169=""),"",IF(BUNDESLIGA!G169&lt;BUNDESLIGA!H169,"",IF(BUNDESLIGA!G169&gt;BUNDESLIGA!H169,"","")))</f>
        <v>RB Leipzig</v>
      </c>
      <c r="G138" s="96" t="str">
        <f>IF(BUNDESLIGA!G169&lt;&gt;"",BUNDESLIGA!G169&amp;" - "&amp;BUNDESLIGA!H169,"")</f>
        <v>3 - 3</v>
      </c>
      <c r="H138" s="96" t="str">
        <f t="shared" si="35"/>
        <v>Borussia Dortmund-RB Leipzig</v>
      </c>
      <c r="I138" s="96" t="str">
        <f t="shared" si="30"/>
        <v>3</v>
      </c>
      <c r="J138" s="97" t="str">
        <f t="shared" si="31"/>
        <v>3</v>
      </c>
      <c r="L138" s="67">
        <f t="shared" si="32"/>
        <v>1</v>
      </c>
      <c r="M138" s="67">
        <f t="shared" si="33"/>
        <v>1</v>
      </c>
      <c r="O138" s="67" t="str">
        <f t="shared" si="34"/>
        <v/>
      </c>
      <c r="P138" s="67"/>
      <c r="Q138" s="67"/>
      <c r="R138" s="67"/>
      <c r="S138" s="67"/>
      <c r="T138" s="67"/>
      <c r="U138" s="67"/>
      <c r="V138" s="67"/>
      <c r="W138" s="67"/>
      <c r="X138" s="67"/>
      <c r="Y138" s="67"/>
      <c r="Z138" s="67"/>
      <c r="AA138" s="67"/>
      <c r="AB138" s="67"/>
      <c r="AC138" s="67"/>
      <c r="AD138" s="67"/>
      <c r="AE138" s="67"/>
      <c r="AF138" s="67"/>
      <c r="AG138" s="67"/>
      <c r="AH138" s="67"/>
      <c r="AI138" s="67"/>
      <c r="AJ138" s="67"/>
      <c r="AK138" s="67"/>
      <c r="AL138" s="67"/>
      <c r="AM138" s="67"/>
      <c r="AN138" s="67"/>
      <c r="AO138" s="67"/>
    </row>
    <row r="139" spans="3:41" x14ac:dyDescent="0.25">
      <c r="C139" s="94" t="str">
        <f t="shared" si="29"/>
        <v/>
      </c>
      <c r="D139" s="95">
        <v>16</v>
      </c>
      <c r="E139" s="96" t="str">
        <f>BUNDESLIGA!F170&amp;IF(OR(BUNDESLIGA!G170="",BUNDESLIGA!H170=""),"",IF(BUNDESLIGA!G170&gt;BUNDESLIGA!H170,"",IF(BUNDESLIGA!G170&lt;BUNDESLIGA!H170,"","")))</f>
        <v>Bayer Leverkusen</v>
      </c>
      <c r="F139" s="96" t="str">
        <f>BUNDESLIGA!I170&amp;IF(OR(BUNDESLIGA!G170="",BUNDESLIGA!H170=""),"",IF(BUNDESLIGA!G170&lt;BUNDESLIGA!H170,"",IF(BUNDESLIGA!G170&gt;BUNDESLIGA!H170,"","")))</f>
        <v>Hertha BSC</v>
      </c>
      <c r="G139" s="96" t="str">
        <f>IF(BUNDESLIGA!G170&lt;&gt;"",BUNDESLIGA!G170&amp;" - "&amp;BUNDESLIGA!H170,"")</f>
        <v>0 - 1</v>
      </c>
      <c r="H139" s="96" t="str">
        <f t="shared" si="35"/>
        <v>Bayer Leverkusen-Hertha BSC</v>
      </c>
      <c r="I139" s="96" t="str">
        <f t="shared" si="30"/>
        <v>0</v>
      </c>
      <c r="J139" s="97" t="str">
        <f t="shared" si="31"/>
        <v>1</v>
      </c>
      <c r="L139" s="67">
        <f t="shared" si="32"/>
        <v>0</v>
      </c>
      <c r="M139" s="67">
        <f t="shared" si="33"/>
        <v>3</v>
      </c>
      <c r="O139" s="67" t="str">
        <f t="shared" si="34"/>
        <v/>
      </c>
      <c r="P139" s="67"/>
      <c r="Q139" s="67"/>
      <c r="R139" s="67"/>
      <c r="S139" s="67"/>
      <c r="T139" s="67"/>
      <c r="U139" s="67"/>
      <c r="V139" s="67"/>
      <c r="W139" s="67"/>
      <c r="X139" s="67"/>
      <c r="Y139" s="67"/>
      <c r="Z139" s="67"/>
      <c r="AA139" s="67"/>
      <c r="AB139" s="67"/>
      <c r="AC139" s="67"/>
      <c r="AD139" s="67"/>
      <c r="AE139" s="67"/>
      <c r="AF139" s="67"/>
      <c r="AG139" s="67"/>
      <c r="AH139" s="67"/>
      <c r="AI139" s="67"/>
      <c r="AJ139" s="67"/>
      <c r="AK139" s="67"/>
      <c r="AL139" s="67"/>
      <c r="AM139" s="67"/>
      <c r="AN139" s="67"/>
      <c r="AO139" s="67"/>
    </row>
    <row r="140" spans="3:41" x14ac:dyDescent="0.25">
      <c r="C140" s="94" t="str">
        <f t="shared" si="29"/>
        <v/>
      </c>
      <c r="D140" s="95">
        <v>16</v>
      </c>
      <c r="E140" s="96" t="str">
        <f>BUNDESLIGA!F171&amp;IF(OR(BUNDESLIGA!G171="",BUNDESLIGA!H171=""),"",IF(BUNDESLIGA!G171&gt;BUNDESLIGA!H171,"",IF(BUNDESLIGA!G171&lt;BUNDESLIGA!H171,"","")))</f>
        <v>Bor. Mönchengladbach</v>
      </c>
      <c r="F140" s="96" t="str">
        <f>BUNDESLIGA!I171&amp;IF(OR(BUNDESLIGA!G171="",BUNDESLIGA!H171=""),"",IF(BUNDESLIGA!G171&lt;BUNDESLIGA!H171,"",IF(BUNDESLIGA!G171&gt;BUNDESLIGA!H171,"","")))</f>
        <v>SC Paderborn 07</v>
      </c>
      <c r="G140" s="96" t="str">
        <f>IF(BUNDESLIGA!G171&lt;&gt;"",BUNDESLIGA!G171&amp;" - "&amp;BUNDESLIGA!H171,"")</f>
        <v>2 - 0</v>
      </c>
      <c r="H140" s="96" t="str">
        <f t="shared" si="35"/>
        <v>Bor. Mönchengladbach-SC Paderborn 07</v>
      </c>
      <c r="I140" s="96" t="str">
        <f t="shared" si="30"/>
        <v>2</v>
      </c>
      <c r="J140" s="97" t="str">
        <f t="shared" si="31"/>
        <v>0</v>
      </c>
      <c r="L140" s="67">
        <f t="shared" si="32"/>
        <v>3</v>
      </c>
      <c r="M140" s="67">
        <f t="shared" si="33"/>
        <v>0</v>
      </c>
      <c r="O140" s="67" t="str">
        <f t="shared" si="34"/>
        <v/>
      </c>
      <c r="P140" s="67"/>
      <c r="Q140" s="67"/>
      <c r="R140" s="67"/>
      <c r="S140" s="67"/>
      <c r="T140" s="67"/>
      <c r="U140" s="67"/>
      <c r="V140" s="67"/>
      <c r="W140" s="67"/>
      <c r="X140" s="67"/>
      <c r="Y140" s="67"/>
      <c r="Z140" s="67"/>
      <c r="AA140" s="67"/>
      <c r="AB140" s="67"/>
      <c r="AC140" s="67"/>
      <c r="AD140" s="67"/>
      <c r="AE140" s="67"/>
      <c r="AF140" s="67"/>
      <c r="AG140" s="67"/>
      <c r="AH140" s="67"/>
      <c r="AI140" s="67"/>
      <c r="AJ140" s="67"/>
      <c r="AK140" s="67"/>
      <c r="AL140" s="67"/>
      <c r="AM140" s="67"/>
      <c r="AN140" s="67"/>
      <c r="AO140" s="67"/>
    </row>
    <row r="141" spans="3:41" x14ac:dyDescent="0.25">
      <c r="C141" s="94" t="str">
        <f t="shared" si="29"/>
        <v/>
      </c>
      <c r="D141" s="95">
        <v>16</v>
      </c>
      <c r="E141" s="96" t="str">
        <f>BUNDESLIGA!F172&amp;IF(OR(BUNDESLIGA!G172="",BUNDESLIGA!H172=""),"",IF(BUNDESLIGA!G172&gt;BUNDESLIGA!H172,"",IF(BUNDESLIGA!G172&lt;BUNDESLIGA!H172,"","")))</f>
        <v>VfL Wolfsburg</v>
      </c>
      <c r="F141" s="96" t="str">
        <f>BUNDESLIGA!I172&amp;IF(OR(BUNDESLIGA!G172="",BUNDESLIGA!H172=""),"",IF(BUNDESLIGA!G172&lt;BUNDESLIGA!H172,"",IF(BUNDESLIGA!G172&gt;BUNDESLIGA!H172,"","")))</f>
        <v>FC Schalke 04</v>
      </c>
      <c r="G141" s="96" t="str">
        <f>IF(BUNDESLIGA!G172&lt;&gt;"",BUNDESLIGA!G172&amp;" - "&amp;BUNDESLIGA!H172,"")</f>
        <v>1 - 1</v>
      </c>
      <c r="H141" s="96" t="str">
        <f t="shared" si="35"/>
        <v>VfL Wolfsburg-FC Schalke 04</v>
      </c>
      <c r="I141" s="96" t="str">
        <f t="shared" si="30"/>
        <v>1</v>
      </c>
      <c r="J141" s="97" t="str">
        <f t="shared" si="31"/>
        <v>1</v>
      </c>
      <c r="L141" s="67">
        <f t="shared" si="32"/>
        <v>1</v>
      </c>
      <c r="M141" s="67">
        <f t="shared" si="33"/>
        <v>1</v>
      </c>
      <c r="O141" s="67" t="str">
        <f t="shared" si="34"/>
        <v/>
      </c>
      <c r="P141" s="67"/>
      <c r="Q141" s="67"/>
      <c r="R141" s="67"/>
      <c r="S141" s="67"/>
      <c r="T141" s="67"/>
      <c r="U141" s="67"/>
      <c r="V141" s="67"/>
      <c r="W141" s="67"/>
      <c r="X141" s="67"/>
      <c r="Y141" s="67"/>
      <c r="Z141" s="67"/>
      <c r="AA141" s="67"/>
      <c r="AB141" s="67"/>
      <c r="AC141" s="67"/>
      <c r="AD141" s="67"/>
      <c r="AE141" s="67"/>
      <c r="AF141" s="67"/>
      <c r="AG141" s="67"/>
      <c r="AH141" s="67"/>
      <c r="AI141" s="67"/>
      <c r="AJ141" s="67"/>
      <c r="AK141" s="67"/>
      <c r="AL141" s="67"/>
      <c r="AM141" s="67"/>
      <c r="AN141" s="67"/>
      <c r="AO141" s="67"/>
    </row>
    <row r="142" spans="3:41" x14ac:dyDescent="0.25">
      <c r="C142" s="94" t="str">
        <f t="shared" si="29"/>
        <v/>
      </c>
      <c r="D142" s="95">
        <v>16</v>
      </c>
      <c r="E142" s="96" t="str">
        <f>BUNDESLIGA!F173&amp;IF(OR(BUNDESLIGA!G173="",BUNDESLIGA!H173=""),"",IF(BUNDESLIGA!G173&gt;BUNDESLIGA!H173,"",IF(BUNDESLIGA!G173&lt;BUNDESLIGA!H173,"","")))</f>
        <v>Eintracht Frankfurt</v>
      </c>
      <c r="F142" s="96" t="str">
        <f>BUNDESLIGA!I173&amp;IF(OR(BUNDESLIGA!G173="",BUNDESLIGA!H173=""),"",IF(BUNDESLIGA!G173&lt;BUNDESLIGA!H173,"",IF(BUNDESLIGA!G173&gt;BUNDESLIGA!H173,"","")))</f>
        <v>1. FC Köln</v>
      </c>
      <c r="G142" s="96" t="str">
        <f>IF(BUNDESLIGA!G173&lt;&gt;"",BUNDESLIGA!G173&amp;" - "&amp;BUNDESLIGA!H173,"")</f>
        <v>2 - 4</v>
      </c>
      <c r="H142" s="96" t="str">
        <f t="shared" si="35"/>
        <v>Eintracht Frankfurt-1. FC Köln</v>
      </c>
      <c r="I142" s="96" t="str">
        <f t="shared" si="30"/>
        <v>2</v>
      </c>
      <c r="J142" s="97" t="str">
        <f t="shared" si="31"/>
        <v>4</v>
      </c>
      <c r="L142" s="67">
        <f t="shared" si="32"/>
        <v>0</v>
      </c>
      <c r="M142" s="67">
        <f t="shared" si="33"/>
        <v>3</v>
      </c>
      <c r="O142" s="67" t="str">
        <f t="shared" si="34"/>
        <v/>
      </c>
      <c r="P142" s="67"/>
      <c r="Q142" s="67"/>
      <c r="R142" s="67"/>
      <c r="S142" s="67"/>
      <c r="T142" s="67"/>
      <c r="U142" s="67"/>
      <c r="V142" s="67"/>
      <c r="W142" s="67"/>
      <c r="X142" s="67"/>
      <c r="Y142" s="67"/>
      <c r="Z142" s="67"/>
      <c r="AA142" s="67"/>
      <c r="AB142" s="67"/>
      <c r="AC142" s="67"/>
      <c r="AD142" s="67"/>
      <c r="AE142" s="67"/>
      <c r="AF142" s="67"/>
      <c r="AG142" s="67"/>
      <c r="AH142" s="67"/>
      <c r="AI142" s="67"/>
      <c r="AJ142" s="67"/>
      <c r="AK142" s="67"/>
      <c r="AL142" s="67"/>
      <c r="AM142" s="67"/>
      <c r="AN142" s="67"/>
      <c r="AO142" s="67"/>
    </row>
    <row r="143" spans="3:41" x14ac:dyDescent="0.25">
      <c r="C143" s="94" t="str">
        <f t="shared" si="29"/>
        <v/>
      </c>
      <c r="D143" s="95">
        <v>16</v>
      </c>
      <c r="E143" s="96" t="str">
        <f>BUNDESLIGA!F174&amp;IF(OR(BUNDESLIGA!G174="",BUNDESLIGA!H174=""),"",IF(BUNDESLIGA!G174&gt;BUNDESLIGA!H174,"",IF(BUNDESLIGA!G174&lt;BUNDESLIGA!H174,"","")))</f>
        <v>Werder Bremen</v>
      </c>
      <c r="F143" s="96" t="str">
        <f>BUNDESLIGA!I174&amp;IF(OR(BUNDESLIGA!G174="",BUNDESLIGA!H174=""),"",IF(BUNDESLIGA!G174&lt;BUNDESLIGA!H174,"",IF(BUNDESLIGA!G174&gt;BUNDESLIGA!H174,"","")))</f>
        <v>1. FSV Mainz 05</v>
      </c>
      <c r="G143" s="96" t="str">
        <f>IF(BUNDESLIGA!G174&lt;&gt;"",BUNDESLIGA!G174&amp;" - "&amp;BUNDESLIGA!H174,"")</f>
        <v>0 - 5</v>
      </c>
      <c r="H143" s="96" t="str">
        <f t="shared" si="35"/>
        <v>Werder Bremen-1. FSV Mainz 05</v>
      </c>
      <c r="I143" s="96" t="str">
        <f t="shared" si="30"/>
        <v>0</v>
      </c>
      <c r="J143" s="97" t="str">
        <f t="shared" si="31"/>
        <v>5</v>
      </c>
      <c r="L143" s="67">
        <f t="shared" si="32"/>
        <v>0</v>
      </c>
      <c r="M143" s="67">
        <f t="shared" si="33"/>
        <v>3</v>
      </c>
      <c r="O143" s="67" t="str">
        <f t="shared" si="34"/>
        <v/>
      </c>
      <c r="P143" s="67"/>
      <c r="Q143" s="67"/>
      <c r="R143" s="67"/>
      <c r="S143" s="67"/>
      <c r="T143" s="67"/>
      <c r="U143" s="67"/>
      <c r="V143" s="67"/>
      <c r="W143" s="67"/>
      <c r="X143" s="67"/>
      <c r="Y143" s="67"/>
      <c r="Z143" s="67"/>
      <c r="AA143" s="67"/>
      <c r="AB143" s="67"/>
      <c r="AC143" s="67"/>
      <c r="AD143" s="67"/>
      <c r="AE143" s="67"/>
      <c r="AF143" s="67"/>
      <c r="AG143" s="67"/>
      <c r="AH143" s="67"/>
      <c r="AI143" s="67"/>
      <c r="AJ143" s="67"/>
      <c r="AK143" s="67"/>
      <c r="AL143" s="67"/>
      <c r="AM143" s="67"/>
      <c r="AN143" s="67"/>
      <c r="AO143" s="67"/>
    </row>
    <row r="144" spans="3:41" x14ac:dyDescent="0.25">
      <c r="C144" s="94" t="str">
        <f t="shared" si="29"/>
        <v/>
      </c>
      <c r="D144" s="95">
        <v>16</v>
      </c>
      <c r="E144" s="96" t="str">
        <f>BUNDESLIGA!F175&amp;IF(OR(BUNDESLIGA!G175="",BUNDESLIGA!H175=""),"",IF(BUNDESLIGA!G175&gt;BUNDESLIGA!H175,"",IF(BUNDESLIGA!G175&lt;BUNDESLIGA!H175,"","")))</f>
        <v>SC Freiburg</v>
      </c>
      <c r="F144" s="96" t="str">
        <f>BUNDESLIGA!I175&amp;IF(OR(BUNDESLIGA!G175="",BUNDESLIGA!H175=""),"",IF(BUNDESLIGA!G175&lt;BUNDESLIGA!H175,"",IF(BUNDESLIGA!G175&gt;BUNDESLIGA!H175,"","")))</f>
        <v>Bayern München</v>
      </c>
      <c r="G144" s="96" t="str">
        <f>IF(BUNDESLIGA!G175&lt;&gt;"",BUNDESLIGA!G175&amp;" - "&amp;BUNDESLIGA!H175,"")</f>
        <v>1 - 3</v>
      </c>
      <c r="H144" s="96" t="str">
        <f t="shared" si="35"/>
        <v>SC Freiburg-Bayern München</v>
      </c>
      <c r="I144" s="96" t="str">
        <f t="shared" si="30"/>
        <v>1</v>
      </c>
      <c r="J144" s="97" t="str">
        <f t="shared" si="31"/>
        <v>3</v>
      </c>
      <c r="L144" s="67">
        <f t="shared" si="32"/>
        <v>0</v>
      </c>
      <c r="M144" s="67">
        <f t="shared" si="33"/>
        <v>3</v>
      </c>
      <c r="O144" s="67" t="str">
        <f t="shared" si="34"/>
        <v/>
      </c>
      <c r="P144" s="67"/>
      <c r="Q144" s="67"/>
      <c r="R144" s="67"/>
      <c r="S144" s="67"/>
      <c r="T144" s="67"/>
      <c r="U144" s="67"/>
      <c r="V144" s="67"/>
      <c r="W144" s="67"/>
      <c r="X144" s="67"/>
      <c r="Y144" s="67"/>
      <c r="Z144" s="67"/>
      <c r="AA144" s="67"/>
      <c r="AB144" s="67"/>
      <c r="AC144" s="67"/>
      <c r="AD144" s="67"/>
      <c r="AE144" s="67"/>
      <c r="AF144" s="67"/>
      <c r="AG144" s="67"/>
      <c r="AH144" s="67"/>
      <c r="AI144" s="67"/>
      <c r="AJ144" s="67"/>
      <c r="AK144" s="67"/>
      <c r="AL144" s="67"/>
      <c r="AM144" s="67"/>
      <c r="AN144" s="67"/>
      <c r="AO144" s="67"/>
    </row>
    <row r="145" spans="3:41" x14ac:dyDescent="0.25">
      <c r="C145" s="94">
        <f t="shared" si="29"/>
        <v>16</v>
      </c>
      <c r="D145" s="95">
        <v>16</v>
      </c>
      <c r="E145" s="96" t="str">
        <f>BUNDESLIGA!F176&amp;IF(OR(BUNDESLIGA!G176="",BUNDESLIGA!H176=""),"",IF(BUNDESLIGA!G176&gt;BUNDESLIGA!H176,"",IF(BUNDESLIGA!G176&lt;BUNDESLIGA!H176,"","")))</f>
        <v>FC Augsburg</v>
      </c>
      <c r="F145" s="96" t="str">
        <f>BUNDESLIGA!I176&amp;IF(OR(BUNDESLIGA!G176="",BUNDESLIGA!H176=""),"",IF(BUNDESLIGA!G176&lt;BUNDESLIGA!H176,"",IF(BUNDESLIGA!G176&gt;BUNDESLIGA!H176,"","")))</f>
        <v>Fortuna Düsseldorf</v>
      </c>
      <c r="G145" s="96" t="str">
        <f>IF(BUNDESLIGA!G176&lt;&gt;"",BUNDESLIGA!G176&amp;" - "&amp;BUNDESLIGA!H176,"")</f>
        <v>3 - 0</v>
      </c>
      <c r="H145" s="96" t="str">
        <f t="shared" si="35"/>
        <v>FC Augsburg-Fortuna Düsseldorf</v>
      </c>
      <c r="I145" s="96" t="str">
        <f t="shared" si="30"/>
        <v>3</v>
      </c>
      <c r="J145" s="97" t="str">
        <f t="shared" si="31"/>
        <v>0</v>
      </c>
      <c r="L145" s="67">
        <f t="shared" si="32"/>
        <v>3</v>
      </c>
      <c r="M145" s="67">
        <f t="shared" si="33"/>
        <v>0</v>
      </c>
      <c r="O145" s="67">
        <f t="shared" si="34"/>
        <v>145</v>
      </c>
      <c r="P145" s="67"/>
      <c r="Q145" s="67"/>
      <c r="R145" s="67"/>
      <c r="S145" s="67"/>
      <c r="T145" s="67"/>
      <c r="U145" s="67"/>
      <c r="V145" s="67"/>
      <c r="W145" s="67"/>
      <c r="X145" s="67"/>
      <c r="Y145" s="67"/>
      <c r="Z145" s="67"/>
      <c r="AA145" s="67"/>
      <c r="AB145" s="67"/>
      <c r="AC145" s="67"/>
      <c r="AD145" s="67"/>
      <c r="AE145" s="67"/>
      <c r="AF145" s="67"/>
      <c r="AG145" s="67"/>
      <c r="AH145" s="67"/>
      <c r="AI145" s="67"/>
      <c r="AJ145" s="67"/>
      <c r="AK145" s="67"/>
      <c r="AL145" s="67"/>
      <c r="AM145" s="67"/>
      <c r="AN145" s="67"/>
      <c r="AO145" s="67"/>
    </row>
    <row r="146" spans="3:41" x14ac:dyDescent="0.25">
      <c r="C146" s="94" t="str">
        <f t="shared" si="29"/>
        <v/>
      </c>
      <c r="D146" s="95">
        <v>16</v>
      </c>
      <c r="E146" s="96" t="str">
        <f>BUNDESLIGA!F177&amp;IF(OR(BUNDESLIGA!G177="",BUNDESLIGA!H177=""),"",IF(BUNDESLIGA!G177&gt;BUNDESLIGA!H177,"",IF(BUNDESLIGA!G177&lt;BUNDESLIGA!H177,"","")))</f>
        <v>1. FC Union Berlin</v>
      </c>
      <c r="F146" s="96" t="str">
        <f>BUNDESLIGA!I177&amp;IF(OR(BUNDESLIGA!G177="",BUNDESLIGA!H177=""),"",IF(BUNDESLIGA!G177&lt;BUNDESLIGA!H177,"",IF(BUNDESLIGA!G177&gt;BUNDESLIGA!H177,"","")))</f>
        <v>1899 Hoffenheim</v>
      </c>
      <c r="G146" s="96" t="str">
        <f>IF(BUNDESLIGA!G177&lt;&gt;"",BUNDESLIGA!G177&amp;" - "&amp;BUNDESLIGA!H177,"")</f>
        <v>0 - 2</v>
      </c>
      <c r="H146" s="96" t="str">
        <f t="shared" si="35"/>
        <v>1. FC Union Berlin-1899 Hoffenheim</v>
      </c>
      <c r="I146" s="96" t="str">
        <f t="shared" si="30"/>
        <v>0</v>
      </c>
      <c r="J146" s="97" t="str">
        <f t="shared" si="31"/>
        <v>2</v>
      </c>
      <c r="L146" s="67">
        <f t="shared" si="32"/>
        <v>0</v>
      </c>
      <c r="M146" s="67">
        <f t="shared" si="33"/>
        <v>3</v>
      </c>
      <c r="O146" s="67" t="str">
        <f t="shared" si="34"/>
        <v/>
      </c>
      <c r="P146" s="67"/>
      <c r="Q146" s="67"/>
      <c r="R146" s="67"/>
      <c r="S146" s="67"/>
      <c r="T146" s="67"/>
      <c r="U146" s="67"/>
      <c r="V146" s="67"/>
      <c r="W146" s="67"/>
      <c r="X146" s="67"/>
      <c r="Y146" s="67"/>
      <c r="Z146" s="67"/>
      <c r="AA146" s="67"/>
      <c r="AB146" s="67"/>
      <c r="AC146" s="67"/>
      <c r="AD146" s="67"/>
      <c r="AE146" s="67"/>
      <c r="AF146" s="67"/>
      <c r="AG146" s="67"/>
      <c r="AH146" s="67"/>
      <c r="AI146" s="67"/>
      <c r="AJ146" s="67"/>
      <c r="AK146" s="67"/>
      <c r="AL146" s="67"/>
      <c r="AM146" s="67"/>
      <c r="AN146" s="67"/>
      <c r="AO146" s="67"/>
    </row>
    <row r="147" spans="3:41" x14ac:dyDescent="0.25">
      <c r="C147" s="94" t="str">
        <f t="shared" si="29"/>
        <v/>
      </c>
      <c r="D147" s="95">
        <v>17</v>
      </c>
      <c r="E147" s="96" t="str">
        <f>BUNDESLIGA!F180&amp;IF(OR(BUNDESLIGA!G180="",BUNDESLIGA!H180=""),"",IF(BUNDESLIGA!G180&gt;BUNDESLIGA!H180,"",IF(BUNDESLIGA!G180&lt;BUNDESLIGA!H180,"","")))</f>
        <v>Bayern München</v>
      </c>
      <c r="F147" s="96" t="str">
        <f>BUNDESLIGA!I180&amp;IF(OR(BUNDESLIGA!G180="",BUNDESLIGA!H180=""),"",IF(BUNDESLIGA!G180&lt;BUNDESLIGA!H180,"",IF(BUNDESLIGA!G180&gt;BUNDESLIGA!H180,"","")))</f>
        <v>VfL Wolfsburg</v>
      </c>
      <c r="G147" s="96" t="str">
        <f>IF(BUNDESLIGA!G180&lt;&gt;"",BUNDESLIGA!G180&amp;" - "&amp;BUNDESLIGA!H180,"")</f>
        <v>2 - 0</v>
      </c>
      <c r="H147" s="96" t="str">
        <f t="shared" si="35"/>
        <v>Bayern München-VfL Wolfsburg</v>
      </c>
      <c r="I147" s="96" t="str">
        <f t="shared" si="30"/>
        <v>2</v>
      </c>
      <c r="J147" s="97" t="str">
        <f t="shared" si="31"/>
        <v>0</v>
      </c>
      <c r="L147" s="67">
        <f t="shared" si="32"/>
        <v>3</v>
      </c>
      <c r="M147" s="67">
        <f t="shared" si="33"/>
        <v>0</v>
      </c>
      <c r="O147" s="67" t="str">
        <f t="shared" si="34"/>
        <v/>
      </c>
      <c r="P147" s="67"/>
      <c r="Q147" s="67"/>
      <c r="R147" s="67"/>
      <c r="S147" s="67"/>
      <c r="T147" s="67"/>
      <c r="U147" s="67"/>
      <c r="V147" s="67"/>
      <c r="W147" s="67"/>
      <c r="X147" s="67"/>
      <c r="Y147" s="67"/>
      <c r="Z147" s="67"/>
      <c r="AA147" s="67"/>
      <c r="AB147" s="67"/>
      <c r="AC147" s="67"/>
      <c r="AD147" s="67"/>
      <c r="AE147" s="67"/>
      <c r="AF147" s="67"/>
      <c r="AG147" s="67"/>
      <c r="AH147" s="67"/>
      <c r="AI147" s="67"/>
      <c r="AJ147" s="67"/>
      <c r="AK147" s="67"/>
      <c r="AL147" s="67"/>
      <c r="AM147" s="67"/>
      <c r="AN147" s="67"/>
      <c r="AO147" s="67"/>
    </row>
    <row r="148" spans="3:41" x14ac:dyDescent="0.25">
      <c r="C148" s="94">
        <f t="shared" si="29"/>
        <v>17</v>
      </c>
      <c r="D148" s="95">
        <v>17</v>
      </c>
      <c r="E148" s="96" t="str">
        <f>BUNDESLIGA!F181&amp;IF(OR(BUNDESLIGA!G181="",BUNDESLIGA!H181=""),"",IF(BUNDESLIGA!G181&gt;BUNDESLIGA!H181,"",IF(BUNDESLIGA!G181&lt;BUNDESLIGA!H181,"","")))</f>
        <v>RB Leipzig</v>
      </c>
      <c r="F148" s="96" t="str">
        <f>BUNDESLIGA!I181&amp;IF(OR(BUNDESLIGA!G181="",BUNDESLIGA!H181=""),"",IF(BUNDESLIGA!G181&lt;BUNDESLIGA!H181,"",IF(BUNDESLIGA!G181&gt;BUNDESLIGA!H181,"","")))</f>
        <v>FC Augsburg</v>
      </c>
      <c r="G148" s="96" t="str">
        <f>IF(BUNDESLIGA!G181&lt;&gt;"",BUNDESLIGA!G181&amp;" - "&amp;BUNDESLIGA!H181,"")</f>
        <v>3 - 1</v>
      </c>
      <c r="H148" s="96" t="str">
        <f t="shared" si="35"/>
        <v>RB Leipzig-FC Augsburg</v>
      </c>
      <c r="I148" s="96" t="str">
        <f t="shared" si="30"/>
        <v>3</v>
      </c>
      <c r="J148" s="97" t="str">
        <f t="shared" si="31"/>
        <v>1</v>
      </c>
      <c r="L148" s="67">
        <f t="shared" si="32"/>
        <v>3</v>
      </c>
      <c r="M148" s="67">
        <f t="shared" si="33"/>
        <v>0</v>
      </c>
      <c r="O148" s="67">
        <f t="shared" si="34"/>
        <v>148</v>
      </c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</row>
    <row r="149" spans="3:41" x14ac:dyDescent="0.25">
      <c r="C149" s="94" t="str">
        <f t="shared" si="29"/>
        <v/>
      </c>
      <c r="D149" s="95">
        <v>17</v>
      </c>
      <c r="E149" s="96" t="str">
        <f>BUNDESLIGA!F182&amp;IF(OR(BUNDESLIGA!G182="",BUNDESLIGA!H182=""),"",IF(BUNDESLIGA!G182&gt;BUNDESLIGA!H182,"",IF(BUNDESLIGA!G182&lt;BUNDESLIGA!H182,"","")))</f>
        <v>1899 Hoffenheim</v>
      </c>
      <c r="F149" s="96" t="str">
        <f>BUNDESLIGA!I182&amp;IF(OR(BUNDESLIGA!G182="",BUNDESLIGA!H182=""),"",IF(BUNDESLIGA!G182&lt;BUNDESLIGA!H182,"",IF(BUNDESLIGA!G182&gt;BUNDESLIGA!H182,"","")))</f>
        <v>Borussia Dortmund</v>
      </c>
      <c r="G149" s="96" t="str">
        <f>IF(BUNDESLIGA!G182&lt;&gt;"",BUNDESLIGA!G182&amp;" - "&amp;BUNDESLIGA!H182,"")</f>
        <v>2 - 1</v>
      </c>
      <c r="H149" s="96" t="str">
        <f t="shared" si="35"/>
        <v>1899 Hoffenheim-Borussia Dortmund</v>
      </c>
      <c r="I149" s="96" t="str">
        <f t="shared" si="30"/>
        <v>2</v>
      </c>
      <c r="J149" s="97" t="str">
        <f t="shared" si="31"/>
        <v>1</v>
      </c>
      <c r="L149" s="67">
        <f t="shared" si="32"/>
        <v>3</v>
      </c>
      <c r="M149" s="67">
        <f t="shared" si="33"/>
        <v>0</v>
      </c>
      <c r="O149" s="67" t="str">
        <f t="shared" si="34"/>
        <v/>
      </c>
      <c r="P149" s="67"/>
      <c r="Q149" s="67"/>
      <c r="R149" s="67"/>
      <c r="S149" s="67"/>
      <c r="T149" s="67"/>
      <c r="U149" s="67"/>
      <c r="V149" s="67"/>
      <c r="W149" s="67"/>
      <c r="X149" s="67"/>
      <c r="Y149" s="67"/>
      <c r="Z149" s="67"/>
      <c r="AA149" s="67"/>
      <c r="AB149" s="67"/>
      <c r="AC149" s="67"/>
      <c r="AD149" s="67"/>
      <c r="AE149" s="67"/>
      <c r="AF149" s="67"/>
      <c r="AG149" s="67"/>
      <c r="AH149" s="67"/>
      <c r="AI149" s="67"/>
      <c r="AJ149" s="67"/>
      <c r="AK149" s="67"/>
      <c r="AL149" s="67"/>
      <c r="AM149" s="67"/>
      <c r="AN149" s="67"/>
      <c r="AO149" s="67"/>
    </row>
    <row r="150" spans="3:41" x14ac:dyDescent="0.25">
      <c r="C150" s="94" t="str">
        <f t="shared" si="29"/>
        <v/>
      </c>
      <c r="D150" s="95">
        <v>17</v>
      </c>
      <c r="E150" s="96" t="str">
        <f>BUNDESLIGA!F183&amp;IF(OR(BUNDESLIGA!G183="",BUNDESLIGA!H183=""),"",IF(BUNDESLIGA!G183&gt;BUNDESLIGA!H183,"",IF(BUNDESLIGA!G183&lt;BUNDESLIGA!H183,"","")))</f>
        <v>Fortuna Düsseldorf</v>
      </c>
      <c r="F150" s="96" t="str">
        <f>BUNDESLIGA!I183&amp;IF(OR(BUNDESLIGA!G183="",BUNDESLIGA!H183=""),"",IF(BUNDESLIGA!G183&lt;BUNDESLIGA!H183,"",IF(BUNDESLIGA!G183&gt;BUNDESLIGA!H183,"","")))</f>
        <v>1. FC Union Berlin</v>
      </c>
      <c r="G150" s="96" t="str">
        <f>IF(BUNDESLIGA!G183&lt;&gt;"",BUNDESLIGA!G183&amp;" - "&amp;BUNDESLIGA!H183,"")</f>
        <v>2 - 1</v>
      </c>
      <c r="H150" s="96" t="str">
        <f t="shared" si="35"/>
        <v>Fortuna Düsseldorf-1. FC Union Berlin</v>
      </c>
      <c r="I150" s="96" t="str">
        <f t="shared" si="30"/>
        <v>2</v>
      </c>
      <c r="J150" s="97" t="str">
        <f t="shared" si="31"/>
        <v>1</v>
      </c>
      <c r="L150" s="67">
        <f t="shared" si="32"/>
        <v>3</v>
      </c>
      <c r="M150" s="67">
        <f t="shared" si="33"/>
        <v>0</v>
      </c>
      <c r="O150" s="67" t="str">
        <f t="shared" si="34"/>
        <v/>
      </c>
      <c r="P150" s="67"/>
      <c r="Q150" s="67"/>
      <c r="R150" s="67"/>
      <c r="S150" s="67"/>
      <c r="T150" s="67"/>
      <c r="U150" s="67"/>
      <c r="V150" s="67"/>
      <c r="W150" s="67"/>
      <c r="X150" s="67"/>
      <c r="Y150" s="67"/>
      <c r="Z150" s="67"/>
      <c r="AA150" s="67"/>
      <c r="AB150" s="67"/>
      <c r="AC150" s="67"/>
      <c r="AD150" s="67"/>
      <c r="AE150" s="67"/>
      <c r="AF150" s="67"/>
      <c r="AG150" s="67"/>
      <c r="AH150" s="67"/>
      <c r="AI150" s="67"/>
      <c r="AJ150" s="67"/>
      <c r="AK150" s="67"/>
      <c r="AL150" s="67"/>
      <c r="AM150" s="67"/>
      <c r="AN150" s="67"/>
      <c r="AO150" s="67"/>
    </row>
    <row r="151" spans="3:41" x14ac:dyDescent="0.25">
      <c r="C151" s="94" t="str">
        <f t="shared" si="29"/>
        <v/>
      </c>
      <c r="D151" s="95">
        <v>17</v>
      </c>
      <c r="E151" s="96" t="str">
        <f>BUNDESLIGA!F184&amp;IF(OR(BUNDESLIGA!G184="",BUNDESLIGA!H184=""),"",IF(BUNDESLIGA!G184&gt;BUNDESLIGA!H184,"",IF(BUNDESLIGA!G184&lt;BUNDESLIGA!H184,"","")))</f>
        <v>Hertha BSC</v>
      </c>
      <c r="F151" s="96" t="str">
        <f>BUNDESLIGA!I184&amp;IF(OR(BUNDESLIGA!G184="",BUNDESLIGA!H184=""),"",IF(BUNDESLIGA!G184&lt;BUNDESLIGA!H184,"",IF(BUNDESLIGA!G184&gt;BUNDESLIGA!H184,"","")))</f>
        <v>Bor. Mönchengladbach</v>
      </c>
      <c r="G151" s="96" t="str">
        <f>IF(BUNDESLIGA!G184&lt;&gt;"",BUNDESLIGA!G184&amp;" - "&amp;BUNDESLIGA!H184,"")</f>
        <v>0 - 0</v>
      </c>
      <c r="H151" s="96" t="str">
        <f t="shared" si="35"/>
        <v>Hertha BSC-Bor. Mönchengladbach</v>
      </c>
      <c r="I151" s="96" t="str">
        <f t="shared" si="30"/>
        <v>0</v>
      </c>
      <c r="J151" s="97" t="str">
        <f t="shared" si="31"/>
        <v>0</v>
      </c>
      <c r="L151" s="67">
        <f t="shared" si="32"/>
        <v>1</v>
      </c>
      <c r="M151" s="67">
        <f t="shared" si="33"/>
        <v>1</v>
      </c>
      <c r="O151" s="67" t="str">
        <f t="shared" si="34"/>
        <v/>
      </c>
      <c r="P151" s="67"/>
      <c r="Q151" s="67"/>
      <c r="R151" s="67"/>
      <c r="S151" s="67"/>
      <c r="T151" s="67"/>
      <c r="U151" s="67"/>
      <c r="V151" s="67"/>
      <c r="W151" s="67"/>
      <c r="X151" s="67"/>
      <c r="Y151" s="67"/>
      <c r="Z151" s="67"/>
      <c r="AA151" s="67"/>
      <c r="AB151" s="67"/>
      <c r="AC151" s="67"/>
      <c r="AD151" s="67"/>
      <c r="AE151" s="67"/>
      <c r="AF151" s="67"/>
      <c r="AG151" s="67"/>
      <c r="AH151" s="67"/>
      <c r="AI151" s="67"/>
      <c r="AJ151" s="67"/>
      <c r="AK151" s="67"/>
      <c r="AL151" s="67"/>
      <c r="AM151" s="67"/>
      <c r="AN151" s="67"/>
      <c r="AO151" s="67"/>
    </row>
    <row r="152" spans="3:41" x14ac:dyDescent="0.25">
      <c r="C152" s="94" t="str">
        <f t="shared" si="29"/>
        <v/>
      </c>
      <c r="D152" s="95">
        <v>17</v>
      </c>
      <c r="E152" s="96" t="str">
        <f>BUNDESLIGA!F185&amp;IF(OR(BUNDESLIGA!G185="",BUNDESLIGA!H185=""),"",IF(BUNDESLIGA!G185&gt;BUNDESLIGA!H185,"",IF(BUNDESLIGA!G185&lt;BUNDESLIGA!H185,"","")))</f>
        <v>1. FSV Mainz 05</v>
      </c>
      <c r="F152" s="96" t="str">
        <f>BUNDESLIGA!I185&amp;IF(OR(BUNDESLIGA!G185="",BUNDESLIGA!H185=""),"",IF(BUNDESLIGA!G185&lt;BUNDESLIGA!H185,"",IF(BUNDESLIGA!G185&gt;BUNDESLIGA!H185,"","")))</f>
        <v>Bayer Leverkusen</v>
      </c>
      <c r="G152" s="96" t="str">
        <f>IF(BUNDESLIGA!G185&lt;&gt;"",BUNDESLIGA!G185&amp;" - "&amp;BUNDESLIGA!H185,"")</f>
        <v>0 - 1</v>
      </c>
      <c r="H152" s="96" t="str">
        <f t="shared" si="35"/>
        <v>1. FSV Mainz 05-Bayer Leverkusen</v>
      </c>
      <c r="I152" s="96" t="str">
        <f t="shared" si="30"/>
        <v>0</v>
      </c>
      <c r="J152" s="97" t="str">
        <f t="shared" si="31"/>
        <v>1</v>
      </c>
      <c r="L152" s="67">
        <f t="shared" si="32"/>
        <v>0</v>
      </c>
      <c r="M152" s="67">
        <f t="shared" si="33"/>
        <v>3</v>
      </c>
      <c r="O152" s="67" t="str">
        <f t="shared" si="34"/>
        <v/>
      </c>
      <c r="P152" s="67"/>
      <c r="Q152" s="67"/>
      <c r="R152" s="67"/>
      <c r="S152" s="67"/>
      <c r="T152" s="67"/>
      <c r="U152" s="67"/>
      <c r="V152" s="67"/>
      <c r="W152" s="67"/>
      <c r="X152" s="67"/>
      <c r="Y152" s="67"/>
      <c r="Z152" s="67"/>
      <c r="AA152" s="67"/>
      <c r="AB152" s="67"/>
      <c r="AC152" s="67"/>
      <c r="AD152" s="67"/>
      <c r="AE152" s="67"/>
      <c r="AF152" s="67"/>
      <c r="AG152" s="67"/>
      <c r="AH152" s="67"/>
      <c r="AI152" s="67"/>
      <c r="AJ152" s="67"/>
      <c r="AK152" s="67"/>
      <c r="AL152" s="67"/>
      <c r="AM152" s="67"/>
      <c r="AN152" s="67"/>
      <c r="AO152" s="67"/>
    </row>
    <row r="153" spans="3:41" x14ac:dyDescent="0.25">
      <c r="C153" s="94" t="str">
        <f t="shared" si="29"/>
        <v/>
      </c>
      <c r="D153" s="95">
        <v>17</v>
      </c>
      <c r="E153" s="96" t="str">
        <f>BUNDESLIGA!F186&amp;IF(OR(BUNDESLIGA!G186="",BUNDESLIGA!H186=""),"",IF(BUNDESLIGA!G186&gt;BUNDESLIGA!H186,"",IF(BUNDESLIGA!G186&lt;BUNDESLIGA!H186,"","")))</f>
        <v>FC Schalke 04</v>
      </c>
      <c r="F153" s="96" t="str">
        <f>BUNDESLIGA!I186&amp;IF(OR(BUNDESLIGA!G186="",BUNDESLIGA!H186=""),"",IF(BUNDESLIGA!G186&lt;BUNDESLIGA!H186,"",IF(BUNDESLIGA!G186&gt;BUNDESLIGA!H186,"","")))</f>
        <v>SC Freiburg</v>
      </c>
      <c r="G153" s="96" t="str">
        <f>IF(BUNDESLIGA!G186&lt;&gt;"",BUNDESLIGA!G186&amp;" - "&amp;BUNDESLIGA!H186,"")</f>
        <v>2 - 2</v>
      </c>
      <c r="H153" s="96" t="str">
        <f t="shared" si="35"/>
        <v>FC Schalke 04-SC Freiburg</v>
      </c>
      <c r="I153" s="96" t="str">
        <f t="shared" si="30"/>
        <v>2</v>
      </c>
      <c r="J153" s="97" t="str">
        <f t="shared" si="31"/>
        <v>2</v>
      </c>
      <c r="L153" s="67">
        <f t="shared" si="32"/>
        <v>1</v>
      </c>
      <c r="M153" s="67">
        <f t="shared" si="33"/>
        <v>1</v>
      </c>
      <c r="O153" s="67" t="str">
        <f t="shared" si="34"/>
        <v/>
      </c>
      <c r="P153" s="67"/>
      <c r="Q153" s="67"/>
      <c r="R153" s="67"/>
      <c r="S153" s="67"/>
      <c r="T153" s="67"/>
      <c r="U153" s="67"/>
      <c r="V153" s="67"/>
      <c r="W153" s="67"/>
      <c r="X153" s="67"/>
      <c r="Y153" s="67"/>
      <c r="Z153" s="67"/>
      <c r="AA153" s="67"/>
      <c r="AB153" s="67"/>
      <c r="AC153" s="67"/>
      <c r="AD153" s="67"/>
      <c r="AE153" s="67"/>
      <c r="AF153" s="67"/>
      <c r="AG153" s="67"/>
      <c r="AH153" s="67"/>
      <c r="AI153" s="67"/>
      <c r="AJ153" s="67"/>
      <c r="AK153" s="67"/>
      <c r="AL153" s="67"/>
      <c r="AM153" s="67"/>
      <c r="AN153" s="67"/>
      <c r="AO153" s="67"/>
    </row>
    <row r="154" spans="3:41" x14ac:dyDescent="0.25">
      <c r="C154" s="94" t="str">
        <f t="shared" si="29"/>
        <v/>
      </c>
      <c r="D154" s="95">
        <v>17</v>
      </c>
      <c r="E154" s="96" t="str">
        <f>BUNDESLIGA!F187&amp;IF(OR(BUNDESLIGA!G187="",BUNDESLIGA!H187=""),"",IF(BUNDESLIGA!G187&gt;BUNDESLIGA!H187,"",IF(BUNDESLIGA!G187&lt;BUNDESLIGA!H187,"","")))</f>
        <v>1. FC Köln</v>
      </c>
      <c r="F154" s="96" t="str">
        <f>BUNDESLIGA!I187&amp;IF(OR(BUNDESLIGA!G187="",BUNDESLIGA!H187=""),"",IF(BUNDESLIGA!G187&lt;BUNDESLIGA!H187,"",IF(BUNDESLIGA!G187&gt;BUNDESLIGA!H187,"","")))</f>
        <v>Werder Bremen</v>
      </c>
      <c r="G154" s="96" t="str">
        <f>IF(BUNDESLIGA!G187&lt;&gt;"",BUNDESLIGA!G187&amp;" - "&amp;BUNDESLIGA!H187,"")</f>
        <v>1 - 0</v>
      </c>
      <c r="H154" s="96" t="str">
        <f t="shared" si="35"/>
        <v>1. FC Köln-Werder Bremen</v>
      </c>
      <c r="I154" s="96" t="str">
        <f t="shared" si="30"/>
        <v>1</v>
      </c>
      <c r="J154" s="97" t="str">
        <f t="shared" si="31"/>
        <v>0</v>
      </c>
      <c r="L154" s="67">
        <f t="shared" si="32"/>
        <v>3</v>
      </c>
      <c r="M154" s="67">
        <f t="shared" si="33"/>
        <v>0</v>
      </c>
      <c r="O154" s="67" t="str">
        <f t="shared" si="34"/>
        <v/>
      </c>
      <c r="P154" s="67"/>
      <c r="Q154" s="67"/>
      <c r="R154" s="67"/>
      <c r="S154" s="67"/>
      <c r="T154" s="67"/>
      <c r="U154" s="67"/>
      <c r="V154" s="67"/>
      <c r="W154" s="67"/>
      <c r="X154" s="67"/>
      <c r="Y154" s="67"/>
      <c r="Z154" s="67"/>
      <c r="AA154" s="67"/>
      <c r="AB154" s="67"/>
      <c r="AC154" s="67"/>
      <c r="AD154" s="67"/>
      <c r="AE154" s="67"/>
      <c r="AF154" s="67"/>
      <c r="AG154" s="67"/>
      <c r="AH154" s="67"/>
      <c r="AI154" s="67"/>
      <c r="AJ154" s="67"/>
      <c r="AK154" s="67"/>
      <c r="AL154" s="67"/>
      <c r="AM154" s="67"/>
      <c r="AN154" s="67"/>
      <c r="AO154" s="67"/>
    </row>
    <row r="155" spans="3:41" x14ac:dyDescent="0.25">
      <c r="C155" s="94" t="str">
        <f t="shared" si="29"/>
        <v/>
      </c>
      <c r="D155" s="95">
        <v>17</v>
      </c>
      <c r="E155" s="96" t="str">
        <f>BUNDESLIGA!F188&amp;IF(OR(BUNDESLIGA!G188="",BUNDESLIGA!H188=""),"",IF(BUNDESLIGA!G188&gt;BUNDESLIGA!H188,"",IF(BUNDESLIGA!G188&lt;BUNDESLIGA!H188,"","")))</f>
        <v>SC Paderborn 07</v>
      </c>
      <c r="F155" s="96" t="str">
        <f>BUNDESLIGA!I188&amp;IF(OR(BUNDESLIGA!G188="",BUNDESLIGA!H188=""),"",IF(BUNDESLIGA!G188&lt;BUNDESLIGA!H188,"",IF(BUNDESLIGA!G188&gt;BUNDESLIGA!H188,"","")))</f>
        <v>Eintracht Frankfurt</v>
      </c>
      <c r="G155" s="96" t="str">
        <f>IF(BUNDESLIGA!G188&lt;&gt;"",BUNDESLIGA!G188&amp;" - "&amp;BUNDESLIGA!H188,"")</f>
        <v>2 - 1</v>
      </c>
      <c r="H155" s="96" t="str">
        <f t="shared" si="35"/>
        <v>SC Paderborn 07-Eintracht Frankfurt</v>
      </c>
      <c r="I155" s="96" t="str">
        <f t="shared" si="30"/>
        <v>2</v>
      </c>
      <c r="J155" s="97" t="str">
        <f t="shared" si="31"/>
        <v>1</v>
      </c>
      <c r="L155" s="67">
        <f t="shared" si="32"/>
        <v>3</v>
      </c>
      <c r="M155" s="67">
        <f t="shared" si="33"/>
        <v>0</v>
      </c>
      <c r="O155" s="67" t="str">
        <f t="shared" si="34"/>
        <v/>
      </c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67"/>
      <c r="AE155" s="67"/>
      <c r="AF155" s="67"/>
      <c r="AG155" s="67"/>
      <c r="AH155" s="67"/>
      <c r="AI155" s="67"/>
      <c r="AJ155" s="67"/>
      <c r="AK155" s="67"/>
      <c r="AL155" s="67"/>
      <c r="AM155" s="67"/>
      <c r="AN155" s="67"/>
      <c r="AO155" s="67"/>
    </row>
    <row r="156" spans="3:41" x14ac:dyDescent="0.25">
      <c r="C156" s="94" t="str">
        <f t="shared" si="29"/>
        <v/>
      </c>
      <c r="D156" s="95">
        <v>18</v>
      </c>
      <c r="E156" s="96" t="str">
        <f>BUNDESLIGA!F191&amp;IF(OR(BUNDESLIGA!G191="",BUNDESLIGA!H191=""),"",IF(BUNDESLIGA!G191&gt;BUNDESLIGA!H191,"",IF(BUNDESLIGA!G191&lt;BUNDESLIGA!H191,"","")))</f>
        <v>Hertha BSC</v>
      </c>
      <c r="F156" s="96" t="str">
        <f>BUNDESLIGA!I191&amp;IF(OR(BUNDESLIGA!G191="",BUNDESLIGA!H191=""),"",IF(BUNDESLIGA!G191&lt;BUNDESLIGA!H191,"",IF(BUNDESLIGA!G191&gt;BUNDESLIGA!H191,"","")))</f>
        <v>Bayern München</v>
      </c>
      <c r="G156" s="96" t="str">
        <f>IF(BUNDESLIGA!G191&lt;&gt;"",BUNDESLIGA!G191&amp;" - "&amp;BUNDESLIGA!H191,"")</f>
        <v>0 - 4</v>
      </c>
      <c r="H156" s="96" t="str">
        <f t="shared" si="35"/>
        <v>Hertha BSC-Bayern München</v>
      </c>
      <c r="I156" s="96" t="str">
        <f t="shared" si="30"/>
        <v>0</v>
      </c>
      <c r="J156" s="97" t="str">
        <f t="shared" si="31"/>
        <v>4</v>
      </c>
      <c r="L156" s="67">
        <f t="shared" si="32"/>
        <v>0</v>
      </c>
      <c r="M156" s="67">
        <f t="shared" si="33"/>
        <v>3</v>
      </c>
      <c r="O156" s="67" t="str">
        <f t="shared" si="34"/>
        <v/>
      </c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  <c r="AF156" s="67"/>
      <c r="AG156" s="67"/>
      <c r="AH156" s="67"/>
      <c r="AI156" s="67"/>
      <c r="AJ156" s="67"/>
      <c r="AK156" s="67"/>
      <c r="AL156" s="67"/>
      <c r="AM156" s="67"/>
      <c r="AN156" s="67"/>
      <c r="AO156" s="67"/>
    </row>
    <row r="157" spans="3:41" x14ac:dyDescent="0.25">
      <c r="C157" s="94">
        <f t="shared" si="29"/>
        <v>18</v>
      </c>
      <c r="D157" s="95">
        <v>18</v>
      </c>
      <c r="E157" s="96" t="str">
        <f>BUNDESLIGA!F192&amp;IF(OR(BUNDESLIGA!G192="",BUNDESLIGA!H192=""),"",IF(BUNDESLIGA!G192&gt;BUNDESLIGA!H192,"",IF(BUNDESLIGA!G192&lt;BUNDESLIGA!H192,"","")))</f>
        <v>FC Augsburg</v>
      </c>
      <c r="F157" s="96" t="str">
        <f>BUNDESLIGA!I192&amp;IF(OR(BUNDESLIGA!G192="",BUNDESLIGA!H192=""),"",IF(BUNDESLIGA!G192&lt;BUNDESLIGA!H192,"",IF(BUNDESLIGA!G192&gt;BUNDESLIGA!H192,"","")))</f>
        <v>Borussia Dortmund</v>
      </c>
      <c r="G157" s="96" t="str">
        <f>IF(BUNDESLIGA!G192&lt;&gt;"",BUNDESLIGA!G192&amp;" - "&amp;BUNDESLIGA!H192,"")</f>
        <v>3 - 5</v>
      </c>
      <c r="H157" s="96" t="str">
        <f t="shared" si="35"/>
        <v>FC Augsburg-Borussia Dortmund</v>
      </c>
      <c r="I157" s="96" t="str">
        <f t="shared" si="30"/>
        <v>3</v>
      </c>
      <c r="J157" s="97" t="str">
        <f t="shared" si="31"/>
        <v>5</v>
      </c>
      <c r="L157" s="67">
        <f t="shared" si="32"/>
        <v>0</v>
      </c>
      <c r="M157" s="67">
        <f t="shared" si="33"/>
        <v>3</v>
      </c>
      <c r="O157" s="67">
        <f t="shared" si="34"/>
        <v>157</v>
      </c>
      <c r="P157" s="67"/>
      <c r="Q157" s="67"/>
      <c r="R157" s="67"/>
      <c r="S157" s="67"/>
      <c r="T157" s="67"/>
      <c r="U157" s="67"/>
      <c r="V157" s="67"/>
      <c r="W157" s="67"/>
      <c r="X157" s="67"/>
      <c r="Y157" s="67"/>
      <c r="Z157" s="67"/>
      <c r="AA157" s="67"/>
      <c r="AB157" s="67"/>
      <c r="AC157" s="67"/>
      <c r="AD157" s="67"/>
      <c r="AE157" s="67"/>
      <c r="AF157" s="67"/>
      <c r="AG157" s="67"/>
      <c r="AH157" s="67"/>
      <c r="AI157" s="67"/>
      <c r="AJ157" s="67"/>
      <c r="AK157" s="67"/>
      <c r="AL157" s="67"/>
      <c r="AM157" s="67"/>
      <c r="AN157" s="67"/>
      <c r="AO157" s="67"/>
    </row>
    <row r="158" spans="3:41" x14ac:dyDescent="0.25">
      <c r="C158" s="94" t="str">
        <f t="shared" si="29"/>
        <v/>
      </c>
      <c r="D158" s="95">
        <v>18</v>
      </c>
      <c r="E158" s="96" t="str">
        <f>BUNDESLIGA!F193&amp;IF(OR(BUNDESLIGA!G193="",BUNDESLIGA!H193=""),"",IF(BUNDESLIGA!G193&gt;BUNDESLIGA!H193,"",IF(BUNDESLIGA!G193&lt;BUNDESLIGA!H193,"","")))</f>
        <v>SC Paderborn 07</v>
      </c>
      <c r="F158" s="96" t="str">
        <f>BUNDESLIGA!I193&amp;IF(OR(BUNDESLIGA!G193="",BUNDESLIGA!H193=""),"",IF(BUNDESLIGA!G193&lt;BUNDESLIGA!H193,"",IF(BUNDESLIGA!G193&gt;BUNDESLIGA!H193,"","")))</f>
        <v>Bayer Leverkusen</v>
      </c>
      <c r="G158" s="96" t="str">
        <f>IF(BUNDESLIGA!G193&lt;&gt;"",BUNDESLIGA!G193&amp;" - "&amp;BUNDESLIGA!H193,"")</f>
        <v>1 - 4</v>
      </c>
      <c r="H158" s="96" t="str">
        <f t="shared" si="35"/>
        <v>SC Paderborn 07-Bayer Leverkusen</v>
      </c>
      <c r="I158" s="96" t="str">
        <f t="shared" si="30"/>
        <v>1</v>
      </c>
      <c r="J158" s="97" t="str">
        <f t="shared" si="31"/>
        <v>4</v>
      </c>
      <c r="L158" s="67">
        <f t="shared" si="32"/>
        <v>0</v>
      </c>
      <c r="M158" s="67">
        <f t="shared" si="33"/>
        <v>3</v>
      </c>
      <c r="O158" s="67" t="str">
        <f t="shared" si="34"/>
        <v/>
      </c>
      <c r="P158" s="67"/>
      <c r="Q158" s="67"/>
      <c r="R158" s="67"/>
      <c r="S158" s="67"/>
      <c r="T158" s="67"/>
      <c r="U158" s="67"/>
      <c r="V158" s="67"/>
      <c r="W158" s="67"/>
      <c r="X158" s="67"/>
      <c r="Y158" s="67"/>
      <c r="Z158" s="67"/>
      <c r="AA158" s="67"/>
      <c r="AB158" s="67"/>
      <c r="AC158" s="67"/>
      <c r="AD158" s="67"/>
      <c r="AE158" s="67"/>
      <c r="AF158" s="67"/>
      <c r="AG158" s="67"/>
      <c r="AH158" s="67"/>
      <c r="AI158" s="67"/>
      <c r="AJ158" s="67"/>
      <c r="AK158" s="67"/>
      <c r="AL158" s="67"/>
      <c r="AM158" s="67"/>
      <c r="AN158" s="67"/>
      <c r="AO158" s="67"/>
    </row>
    <row r="159" spans="3:41" x14ac:dyDescent="0.25">
      <c r="C159" s="94" t="str">
        <f t="shared" si="29"/>
        <v/>
      </c>
      <c r="D159" s="95">
        <v>18</v>
      </c>
      <c r="E159" s="96" t="str">
        <f>BUNDESLIGA!F194&amp;IF(OR(BUNDESLIGA!G194="",BUNDESLIGA!H194=""),"",IF(BUNDESLIGA!G194&gt;BUNDESLIGA!H194,"",IF(BUNDESLIGA!G194&lt;BUNDESLIGA!H194,"","")))</f>
        <v>FC Schalke 04</v>
      </c>
      <c r="F159" s="96" t="str">
        <f>BUNDESLIGA!I194&amp;IF(OR(BUNDESLIGA!G194="",BUNDESLIGA!H194=""),"",IF(BUNDESLIGA!G194&lt;BUNDESLIGA!H194,"",IF(BUNDESLIGA!G194&gt;BUNDESLIGA!H194,"","")))</f>
        <v>Bor. Mönchengladbach</v>
      </c>
      <c r="G159" s="96" t="str">
        <f>IF(BUNDESLIGA!G194&lt;&gt;"",BUNDESLIGA!G194&amp;" - "&amp;BUNDESLIGA!H194,"")</f>
        <v>2 - 0</v>
      </c>
      <c r="H159" s="96" t="str">
        <f t="shared" si="35"/>
        <v>FC Schalke 04-Bor. Mönchengladbach</v>
      </c>
      <c r="I159" s="96" t="str">
        <f t="shared" si="30"/>
        <v>2</v>
      </c>
      <c r="J159" s="97" t="str">
        <f t="shared" si="31"/>
        <v>0</v>
      </c>
      <c r="L159" s="67">
        <f t="shared" si="32"/>
        <v>3</v>
      </c>
      <c r="M159" s="67">
        <f t="shared" si="33"/>
        <v>0</v>
      </c>
      <c r="O159" s="67" t="str">
        <f t="shared" si="34"/>
        <v/>
      </c>
      <c r="P159" s="67"/>
      <c r="Q159" s="67"/>
      <c r="R159" s="67"/>
      <c r="S159" s="67"/>
      <c r="T159" s="67"/>
      <c r="U159" s="67"/>
      <c r="V159" s="67"/>
      <c r="W159" s="67"/>
      <c r="X159" s="67"/>
      <c r="Y159" s="67"/>
      <c r="Z159" s="67"/>
      <c r="AA159" s="67"/>
      <c r="AB159" s="67"/>
      <c r="AC159" s="67"/>
      <c r="AD159" s="67"/>
      <c r="AE159" s="67"/>
      <c r="AF159" s="67"/>
      <c r="AG159" s="67"/>
      <c r="AH159" s="67"/>
      <c r="AI159" s="67"/>
      <c r="AJ159" s="67"/>
      <c r="AK159" s="67"/>
      <c r="AL159" s="67"/>
      <c r="AM159" s="67"/>
      <c r="AN159" s="67"/>
      <c r="AO159" s="67"/>
    </row>
    <row r="160" spans="3:41" x14ac:dyDescent="0.25">
      <c r="C160" s="94" t="str">
        <f t="shared" si="29"/>
        <v/>
      </c>
      <c r="D160" s="95">
        <v>18</v>
      </c>
      <c r="E160" s="96" t="str">
        <f>BUNDESLIGA!F195&amp;IF(OR(BUNDESLIGA!G195="",BUNDESLIGA!H195=""),"",IF(BUNDESLIGA!G195&gt;BUNDESLIGA!H195,"",IF(BUNDESLIGA!G195&lt;BUNDESLIGA!H195,"","")))</f>
        <v>1. FC Köln</v>
      </c>
      <c r="F160" s="96" t="str">
        <f>BUNDESLIGA!I195&amp;IF(OR(BUNDESLIGA!G195="",BUNDESLIGA!H195=""),"",IF(BUNDESLIGA!G195&lt;BUNDESLIGA!H195,"",IF(BUNDESLIGA!G195&gt;BUNDESLIGA!H195,"","")))</f>
        <v>VfL Wolfsburg</v>
      </c>
      <c r="G160" s="96" t="str">
        <f>IF(BUNDESLIGA!G195&lt;&gt;"",BUNDESLIGA!G195&amp;" - "&amp;BUNDESLIGA!H195,"")</f>
        <v>3 - 1</v>
      </c>
      <c r="H160" s="96" t="str">
        <f t="shared" si="35"/>
        <v>1. FC Köln-VfL Wolfsburg</v>
      </c>
      <c r="I160" s="96" t="str">
        <f t="shared" si="30"/>
        <v>3</v>
      </c>
      <c r="J160" s="97" t="str">
        <f t="shared" si="31"/>
        <v>1</v>
      </c>
      <c r="L160" s="67">
        <f t="shared" si="32"/>
        <v>3</v>
      </c>
      <c r="M160" s="67">
        <f t="shared" si="33"/>
        <v>0</v>
      </c>
      <c r="O160" s="67" t="str">
        <f t="shared" si="34"/>
        <v/>
      </c>
      <c r="P160" s="67"/>
      <c r="Q160" s="67"/>
      <c r="R160" s="67"/>
      <c r="S160" s="67"/>
      <c r="T160" s="67"/>
      <c r="U160" s="67"/>
      <c r="V160" s="67"/>
      <c r="W160" s="67"/>
      <c r="X160" s="67"/>
      <c r="Y160" s="67"/>
      <c r="Z160" s="67"/>
      <c r="AA160" s="67"/>
      <c r="AB160" s="67"/>
      <c r="AC160" s="67"/>
      <c r="AD160" s="67"/>
      <c r="AE160" s="67"/>
      <c r="AF160" s="67"/>
      <c r="AG160" s="67"/>
      <c r="AH160" s="67"/>
      <c r="AI160" s="67"/>
      <c r="AJ160" s="67"/>
      <c r="AK160" s="67"/>
      <c r="AL160" s="67"/>
      <c r="AM160" s="67"/>
      <c r="AN160" s="67"/>
      <c r="AO160" s="67"/>
    </row>
    <row r="161" spans="3:41" x14ac:dyDescent="0.25">
      <c r="C161" s="94" t="str">
        <f t="shared" si="29"/>
        <v/>
      </c>
      <c r="D161" s="95">
        <v>18</v>
      </c>
      <c r="E161" s="96" t="str">
        <f>BUNDESLIGA!F196&amp;IF(OR(BUNDESLIGA!G196="",BUNDESLIGA!H196=""),"",IF(BUNDESLIGA!G196&gt;BUNDESLIGA!H196,"",IF(BUNDESLIGA!G196&lt;BUNDESLIGA!H196,"","")))</f>
        <v>1899 Hoffenheim</v>
      </c>
      <c r="F161" s="96" t="str">
        <f>BUNDESLIGA!I196&amp;IF(OR(BUNDESLIGA!G196="",BUNDESLIGA!H196=""),"",IF(BUNDESLIGA!G196&lt;BUNDESLIGA!H196,"",IF(BUNDESLIGA!G196&gt;BUNDESLIGA!H196,"","")))</f>
        <v>Eintracht Frankfurt</v>
      </c>
      <c r="G161" s="96" t="str">
        <f>IF(BUNDESLIGA!G196&lt;&gt;"",BUNDESLIGA!G196&amp;" - "&amp;BUNDESLIGA!H196,"")</f>
        <v>1 - 2</v>
      </c>
      <c r="H161" s="96" t="str">
        <f t="shared" si="35"/>
        <v>1899 Hoffenheim-Eintracht Frankfurt</v>
      </c>
      <c r="I161" s="96" t="str">
        <f t="shared" si="30"/>
        <v>1</v>
      </c>
      <c r="J161" s="97" t="str">
        <f t="shared" si="31"/>
        <v>2</v>
      </c>
      <c r="L161" s="67">
        <f t="shared" si="32"/>
        <v>0</v>
      </c>
      <c r="M161" s="67">
        <f t="shared" si="33"/>
        <v>3</v>
      </c>
      <c r="O161" s="67" t="str">
        <f t="shared" si="34"/>
        <v/>
      </c>
      <c r="P161" s="67"/>
      <c r="Q161" s="67"/>
      <c r="R161" s="67"/>
      <c r="S161" s="67"/>
      <c r="T161" s="67"/>
      <c r="U161" s="67"/>
      <c r="V161" s="67"/>
      <c r="W161" s="67"/>
      <c r="X161" s="67"/>
      <c r="Y161" s="67"/>
      <c r="Z161" s="67"/>
      <c r="AA161" s="67"/>
      <c r="AB161" s="67"/>
      <c r="AC161" s="67"/>
      <c r="AD161" s="67"/>
      <c r="AE161" s="67"/>
      <c r="AF161" s="67"/>
      <c r="AG161" s="67"/>
      <c r="AH161" s="67"/>
      <c r="AI161" s="67"/>
      <c r="AJ161" s="67"/>
      <c r="AK161" s="67"/>
      <c r="AL161" s="67"/>
      <c r="AM161" s="67"/>
      <c r="AN161" s="67"/>
      <c r="AO161" s="67"/>
    </row>
    <row r="162" spans="3:41" x14ac:dyDescent="0.25">
      <c r="C162" s="94" t="str">
        <f t="shared" si="29"/>
        <v/>
      </c>
      <c r="D162" s="95">
        <v>18</v>
      </c>
      <c r="E162" s="96" t="str">
        <f>BUNDESLIGA!F197&amp;IF(OR(BUNDESLIGA!G197="",BUNDESLIGA!H197=""),"",IF(BUNDESLIGA!G197&gt;BUNDESLIGA!H197,"",IF(BUNDESLIGA!G197&lt;BUNDESLIGA!H197,"","")))</f>
        <v>Fortuna Düsseldorf</v>
      </c>
      <c r="F162" s="96" t="str">
        <f>BUNDESLIGA!I197&amp;IF(OR(BUNDESLIGA!G197="",BUNDESLIGA!H197=""),"",IF(BUNDESLIGA!G197&lt;BUNDESLIGA!H197,"",IF(BUNDESLIGA!G197&gt;BUNDESLIGA!H197,"","")))</f>
        <v>Werder Bremen</v>
      </c>
      <c r="G162" s="96" t="str">
        <f>IF(BUNDESLIGA!G197&lt;&gt;"",BUNDESLIGA!G197&amp;" - "&amp;BUNDESLIGA!H197,"")</f>
        <v>0 - 1</v>
      </c>
      <c r="H162" s="96" t="str">
        <f t="shared" si="35"/>
        <v>Fortuna Düsseldorf-Werder Bremen</v>
      </c>
      <c r="I162" s="96" t="str">
        <f t="shared" si="30"/>
        <v>0</v>
      </c>
      <c r="J162" s="97" t="str">
        <f t="shared" si="31"/>
        <v>1</v>
      </c>
      <c r="L162" s="67">
        <f t="shared" si="32"/>
        <v>0</v>
      </c>
      <c r="M162" s="67">
        <f t="shared" si="33"/>
        <v>3</v>
      </c>
      <c r="O162" s="67" t="str">
        <f t="shared" si="34"/>
        <v/>
      </c>
      <c r="P162" s="67"/>
      <c r="Q162" s="67"/>
      <c r="R162" s="67"/>
      <c r="S162" s="67"/>
      <c r="T162" s="67"/>
      <c r="U162" s="67"/>
      <c r="V162" s="67"/>
      <c r="W162" s="67"/>
      <c r="X162" s="67"/>
      <c r="Y162" s="67"/>
      <c r="Z162" s="67"/>
      <c r="AA162" s="67"/>
      <c r="AB162" s="67"/>
      <c r="AC162" s="67"/>
      <c r="AD162" s="67"/>
      <c r="AE162" s="67"/>
      <c r="AF162" s="67"/>
      <c r="AG162" s="67"/>
      <c r="AH162" s="67"/>
      <c r="AI162" s="67"/>
      <c r="AJ162" s="67"/>
      <c r="AK162" s="67"/>
      <c r="AL162" s="67"/>
      <c r="AM162" s="67"/>
      <c r="AN162" s="67"/>
      <c r="AO162" s="67"/>
    </row>
    <row r="163" spans="3:41" x14ac:dyDescent="0.25">
      <c r="C163" s="94" t="str">
        <f t="shared" si="29"/>
        <v/>
      </c>
      <c r="D163" s="95">
        <v>18</v>
      </c>
      <c r="E163" s="96" t="str">
        <f>BUNDESLIGA!F198&amp;IF(OR(BUNDESLIGA!G198="",BUNDESLIGA!H198=""),"",IF(BUNDESLIGA!G198&gt;BUNDESLIGA!H198,"",IF(BUNDESLIGA!G198&lt;BUNDESLIGA!H198,"","")))</f>
        <v>1. FSV Mainz 05</v>
      </c>
      <c r="F163" s="96" t="str">
        <f>BUNDESLIGA!I198&amp;IF(OR(BUNDESLIGA!G198="",BUNDESLIGA!H198=""),"",IF(BUNDESLIGA!G198&lt;BUNDESLIGA!H198,"",IF(BUNDESLIGA!G198&gt;BUNDESLIGA!H198,"","")))</f>
        <v>SC Freiburg</v>
      </c>
      <c r="G163" s="96" t="str">
        <f>IF(BUNDESLIGA!G198&lt;&gt;"",BUNDESLIGA!G198&amp;" - "&amp;BUNDESLIGA!H198,"")</f>
        <v>1 - 2</v>
      </c>
      <c r="H163" s="96" t="str">
        <f t="shared" si="35"/>
        <v>1. FSV Mainz 05-SC Freiburg</v>
      </c>
      <c r="I163" s="96" t="str">
        <f t="shared" si="30"/>
        <v>1</v>
      </c>
      <c r="J163" s="97" t="str">
        <f t="shared" si="31"/>
        <v>2</v>
      </c>
      <c r="L163" s="67">
        <f t="shared" si="32"/>
        <v>0</v>
      </c>
      <c r="M163" s="67">
        <f t="shared" si="33"/>
        <v>3</v>
      </c>
      <c r="O163" s="67" t="str">
        <f t="shared" si="34"/>
        <v/>
      </c>
      <c r="P163" s="67"/>
      <c r="Q163" s="67"/>
      <c r="R163" s="67"/>
      <c r="S163" s="67"/>
      <c r="T163" s="67"/>
      <c r="U163" s="67"/>
      <c r="V163" s="67"/>
      <c r="W163" s="67"/>
      <c r="X163" s="67"/>
      <c r="Y163" s="67"/>
      <c r="Z163" s="67"/>
      <c r="AA163" s="67"/>
      <c r="AB163" s="67"/>
      <c r="AC163" s="67"/>
      <c r="AD163" s="67"/>
      <c r="AE163" s="67"/>
      <c r="AF163" s="67"/>
      <c r="AG163" s="67"/>
      <c r="AH163" s="67"/>
      <c r="AI163" s="67"/>
      <c r="AJ163" s="67"/>
      <c r="AK163" s="67"/>
      <c r="AL163" s="67"/>
      <c r="AM163" s="67"/>
      <c r="AN163" s="67"/>
      <c r="AO163" s="67"/>
    </row>
    <row r="164" spans="3:41" x14ac:dyDescent="0.25">
      <c r="C164" s="94" t="str">
        <f t="shared" si="29"/>
        <v/>
      </c>
      <c r="D164" s="95">
        <v>18</v>
      </c>
      <c r="E164" s="96" t="str">
        <f>BUNDESLIGA!F199&amp;IF(OR(BUNDESLIGA!G199="",BUNDESLIGA!H199=""),"",IF(BUNDESLIGA!G199&gt;BUNDESLIGA!H199,"",IF(BUNDESLIGA!G199&lt;BUNDESLIGA!H199,"","")))</f>
        <v>RB Leipzig</v>
      </c>
      <c r="F164" s="96" t="str">
        <f>BUNDESLIGA!I199&amp;IF(OR(BUNDESLIGA!G199="",BUNDESLIGA!H199=""),"",IF(BUNDESLIGA!G199&lt;BUNDESLIGA!H199,"",IF(BUNDESLIGA!G199&gt;BUNDESLIGA!H199,"","")))</f>
        <v>1. FC Union Berlin</v>
      </c>
      <c r="G164" s="96" t="str">
        <f>IF(BUNDESLIGA!G199&lt;&gt;"",BUNDESLIGA!G199&amp;" - "&amp;BUNDESLIGA!H199,"")</f>
        <v>3 - 1</v>
      </c>
      <c r="H164" s="96" t="str">
        <f t="shared" si="35"/>
        <v>RB Leipzig-1. FC Union Berlin</v>
      </c>
      <c r="I164" s="96" t="str">
        <f t="shared" si="30"/>
        <v>3</v>
      </c>
      <c r="J164" s="97" t="str">
        <f t="shared" si="31"/>
        <v>1</v>
      </c>
      <c r="L164" s="67">
        <f t="shared" si="32"/>
        <v>3</v>
      </c>
      <c r="M164" s="67">
        <f t="shared" si="33"/>
        <v>0</v>
      </c>
      <c r="O164" s="67" t="str">
        <f t="shared" si="34"/>
        <v/>
      </c>
      <c r="P164" s="67"/>
      <c r="Q164" s="67"/>
      <c r="R164" s="67"/>
      <c r="S164" s="67"/>
      <c r="T164" s="67"/>
      <c r="U164" s="67"/>
      <c r="V164" s="67"/>
      <c r="W164" s="67"/>
      <c r="X164" s="67"/>
      <c r="Y164" s="67"/>
      <c r="Z164" s="67"/>
      <c r="AA164" s="67"/>
      <c r="AB164" s="67"/>
      <c r="AC164" s="67"/>
      <c r="AD164" s="67"/>
      <c r="AE164" s="67"/>
      <c r="AF164" s="67"/>
      <c r="AG164" s="67"/>
      <c r="AH164" s="67"/>
      <c r="AI164" s="67"/>
      <c r="AJ164" s="67"/>
      <c r="AK164" s="67"/>
      <c r="AL164" s="67"/>
      <c r="AM164" s="67"/>
      <c r="AN164" s="67"/>
      <c r="AO164" s="67"/>
    </row>
    <row r="165" spans="3:41" x14ac:dyDescent="0.25">
      <c r="C165" s="94" t="str">
        <f t="shared" si="29"/>
        <v/>
      </c>
      <c r="D165" s="95">
        <v>19</v>
      </c>
      <c r="E165" s="96" t="str">
        <f>BUNDESLIGA!F202&amp;IF(OR(BUNDESLIGA!G202="",BUNDESLIGA!H202=""),"",IF(BUNDESLIGA!G202&gt;BUNDESLIGA!H202,"",IF(BUNDESLIGA!G202&lt;BUNDESLIGA!H202,"","")))</f>
        <v>Eintracht Frankfurt</v>
      </c>
      <c r="F165" s="96" t="str">
        <f>BUNDESLIGA!I202&amp;IF(OR(BUNDESLIGA!G202="",BUNDESLIGA!H202=""),"",IF(BUNDESLIGA!G202&lt;BUNDESLIGA!H202,"",IF(BUNDESLIGA!G202&gt;BUNDESLIGA!H202,"","")))</f>
        <v>RB Leipzig</v>
      </c>
      <c r="G165" s="96" t="str">
        <f>IF(BUNDESLIGA!G202&lt;&gt;"",BUNDESLIGA!G202&amp;" - "&amp;BUNDESLIGA!H202,"")</f>
        <v>2 - 0</v>
      </c>
      <c r="H165" s="96" t="str">
        <f t="shared" si="35"/>
        <v>Eintracht Frankfurt-RB Leipzig</v>
      </c>
      <c r="I165" s="96" t="str">
        <f t="shared" si="30"/>
        <v>2</v>
      </c>
      <c r="J165" s="97" t="str">
        <f t="shared" si="31"/>
        <v>0</v>
      </c>
      <c r="L165" s="67">
        <f t="shared" si="32"/>
        <v>3</v>
      </c>
      <c r="M165" s="67">
        <f t="shared" si="33"/>
        <v>0</v>
      </c>
      <c r="O165" s="67" t="str">
        <f t="shared" si="34"/>
        <v/>
      </c>
      <c r="P165" s="67"/>
      <c r="Q165" s="67"/>
      <c r="R165" s="67"/>
      <c r="S165" s="67"/>
      <c r="T165" s="67"/>
      <c r="U165" s="67"/>
      <c r="V165" s="67"/>
      <c r="W165" s="67"/>
      <c r="X165" s="67"/>
      <c r="Y165" s="67"/>
      <c r="Z165" s="67"/>
      <c r="AA165" s="67"/>
      <c r="AB165" s="67"/>
      <c r="AC165" s="67"/>
      <c r="AD165" s="67"/>
      <c r="AE165" s="67"/>
      <c r="AF165" s="67"/>
      <c r="AG165" s="67"/>
      <c r="AH165" s="67"/>
      <c r="AI165" s="67"/>
      <c r="AJ165" s="67"/>
      <c r="AK165" s="67"/>
      <c r="AL165" s="67"/>
      <c r="AM165" s="67"/>
      <c r="AN165" s="67"/>
      <c r="AO165" s="67"/>
    </row>
    <row r="166" spans="3:41" x14ac:dyDescent="0.25">
      <c r="C166" s="94" t="str">
        <f t="shared" si="29"/>
        <v/>
      </c>
      <c r="D166" s="95">
        <v>19</v>
      </c>
      <c r="E166" s="96" t="str">
        <f>BUNDESLIGA!F203&amp;IF(OR(BUNDESLIGA!G203="",BUNDESLIGA!H203=""),"",IF(BUNDESLIGA!G203&gt;BUNDESLIGA!H203,"",IF(BUNDESLIGA!G203&lt;BUNDESLIGA!H203,"","")))</f>
        <v>Werder Bremen</v>
      </c>
      <c r="F166" s="96" t="str">
        <f>BUNDESLIGA!I203&amp;IF(OR(BUNDESLIGA!G203="",BUNDESLIGA!H203=""),"",IF(BUNDESLIGA!G203&lt;BUNDESLIGA!H203,"",IF(BUNDESLIGA!G203&gt;BUNDESLIGA!H203,"","")))</f>
        <v>1899 Hoffenheim</v>
      </c>
      <c r="G166" s="96" t="str">
        <f>IF(BUNDESLIGA!G203&lt;&gt;"",BUNDESLIGA!G203&amp;" - "&amp;BUNDESLIGA!H203,"")</f>
        <v>0 - 3</v>
      </c>
      <c r="H166" s="96" t="str">
        <f t="shared" si="35"/>
        <v>Werder Bremen-1899 Hoffenheim</v>
      </c>
      <c r="I166" s="96" t="str">
        <f t="shared" si="30"/>
        <v>0</v>
      </c>
      <c r="J166" s="97" t="str">
        <f t="shared" si="31"/>
        <v>3</v>
      </c>
      <c r="L166" s="67">
        <f t="shared" si="32"/>
        <v>0</v>
      </c>
      <c r="M166" s="67">
        <f t="shared" si="33"/>
        <v>3</v>
      </c>
      <c r="O166" s="67" t="str">
        <f t="shared" si="34"/>
        <v/>
      </c>
      <c r="P166" s="67"/>
      <c r="Q166" s="67"/>
      <c r="R166" s="67"/>
      <c r="S166" s="67"/>
      <c r="T166" s="67"/>
      <c r="U166" s="67"/>
      <c r="V166" s="67"/>
      <c r="W166" s="67"/>
      <c r="X166" s="67"/>
      <c r="Y166" s="67"/>
      <c r="Z166" s="67"/>
      <c r="AA166" s="67"/>
      <c r="AB166" s="67"/>
      <c r="AC166" s="67"/>
      <c r="AD166" s="67"/>
      <c r="AE166" s="67"/>
      <c r="AF166" s="67"/>
      <c r="AG166" s="67"/>
      <c r="AH166" s="67"/>
      <c r="AI166" s="67"/>
      <c r="AJ166" s="67"/>
      <c r="AK166" s="67"/>
      <c r="AL166" s="67"/>
      <c r="AM166" s="67"/>
      <c r="AN166" s="67"/>
      <c r="AO166" s="67"/>
    </row>
    <row r="167" spans="3:41" x14ac:dyDescent="0.25">
      <c r="C167" s="94" t="str">
        <f t="shared" si="29"/>
        <v/>
      </c>
      <c r="D167" s="95">
        <v>19</v>
      </c>
      <c r="E167" s="96" t="str">
        <f>BUNDESLIGA!F204&amp;IF(OR(BUNDESLIGA!G204="",BUNDESLIGA!H204=""),"",IF(BUNDESLIGA!G204&gt;BUNDESLIGA!H204,"",IF(BUNDESLIGA!G204&lt;BUNDESLIGA!H204,"","")))</f>
        <v>Bayer Leverkusen</v>
      </c>
      <c r="F167" s="96" t="str">
        <f>BUNDESLIGA!I204&amp;IF(OR(BUNDESLIGA!G204="",BUNDESLIGA!H204=""),"",IF(BUNDESLIGA!G204&lt;BUNDESLIGA!H204,"",IF(BUNDESLIGA!G204&gt;BUNDESLIGA!H204,"","")))</f>
        <v>Fortuna Düsseldorf</v>
      </c>
      <c r="G167" s="96" t="str">
        <f>IF(BUNDESLIGA!G204&lt;&gt;"",BUNDESLIGA!G204&amp;" - "&amp;BUNDESLIGA!H204,"")</f>
        <v>3 - 0</v>
      </c>
      <c r="H167" s="96" t="str">
        <f t="shared" si="35"/>
        <v>Bayer Leverkusen-Fortuna Düsseldorf</v>
      </c>
      <c r="I167" s="96" t="str">
        <f t="shared" si="30"/>
        <v>3</v>
      </c>
      <c r="J167" s="97" t="str">
        <f t="shared" si="31"/>
        <v>0</v>
      </c>
      <c r="L167" s="67">
        <f t="shared" si="32"/>
        <v>3</v>
      </c>
      <c r="M167" s="67">
        <f t="shared" si="33"/>
        <v>0</v>
      </c>
      <c r="O167" s="67" t="str">
        <f t="shared" si="34"/>
        <v/>
      </c>
      <c r="P167" s="67"/>
      <c r="Q167" s="67"/>
      <c r="R167" s="67"/>
      <c r="S167" s="67"/>
      <c r="T167" s="67"/>
      <c r="U167" s="67"/>
      <c r="V167" s="67"/>
      <c r="W167" s="67"/>
      <c r="X167" s="67"/>
      <c r="Y167" s="67"/>
      <c r="Z167" s="67"/>
      <c r="AA167" s="67"/>
      <c r="AB167" s="67"/>
      <c r="AC167" s="67"/>
      <c r="AD167" s="67"/>
      <c r="AE167" s="67"/>
      <c r="AF167" s="67"/>
      <c r="AG167" s="67"/>
      <c r="AH167" s="67"/>
      <c r="AI167" s="67"/>
      <c r="AJ167" s="67"/>
      <c r="AK167" s="67"/>
      <c r="AL167" s="67"/>
      <c r="AM167" s="67"/>
      <c r="AN167" s="67"/>
      <c r="AO167" s="67"/>
    </row>
    <row r="168" spans="3:41" x14ac:dyDescent="0.25">
      <c r="C168" s="94" t="str">
        <f t="shared" si="29"/>
        <v/>
      </c>
      <c r="D168" s="95">
        <v>19</v>
      </c>
      <c r="E168" s="96" t="str">
        <f>BUNDESLIGA!F205&amp;IF(OR(BUNDESLIGA!G205="",BUNDESLIGA!H205=""),"",IF(BUNDESLIGA!G205&gt;BUNDESLIGA!H205,"",IF(BUNDESLIGA!G205&lt;BUNDESLIGA!H205,"","")))</f>
        <v>VfL Wolfsburg</v>
      </c>
      <c r="F168" s="96" t="str">
        <f>BUNDESLIGA!I205&amp;IF(OR(BUNDESLIGA!G205="",BUNDESLIGA!H205=""),"",IF(BUNDESLIGA!G205&lt;BUNDESLIGA!H205,"",IF(BUNDESLIGA!G205&gt;BUNDESLIGA!H205,"","")))</f>
        <v>Hertha BSC</v>
      </c>
      <c r="G168" s="96" t="str">
        <f>IF(BUNDESLIGA!G205&lt;&gt;"",BUNDESLIGA!G205&amp;" - "&amp;BUNDESLIGA!H205,"")</f>
        <v>1 - 2</v>
      </c>
      <c r="H168" s="96" t="str">
        <f t="shared" si="35"/>
        <v>VfL Wolfsburg-Hertha BSC</v>
      </c>
      <c r="I168" s="96" t="str">
        <f t="shared" si="30"/>
        <v>1</v>
      </c>
      <c r="J168" s="97" t="str">
        <f t="shared" si="31"/>
        <v>2</v>
      </c>
      <c r="L168" s="67">
        <f t="shared" si="32"/>
        <v>0</v>
      </c>
      <c r="M168" s="67">
        <f t="shared" si="33"/>
        <v>3</v>
      </c>
      <c r="O168" s="67" t="str">
        <f t="shared" si="34"/>
        <v/>
      </c>
      <c r="P168" s="67"/>
      <c r="Q168" s="67"/>
      <c r="R168" s="67"/>
      <c r="S168" s="67"/>
      <c r="T168" s="67"/>
      <c r="U168" s="67"/>
      <c r="V168" s="67"/>
      <c r="W168" s="67"/>
      <c r="X168" s="67"/>
      <c r="Y168" s="67"/>
      <c r="Z168" s="67"/>
      <c r="AA168" s="67"/>
      <c r="AB168" s="67"/>
      <c r="AC168" s="67"/>
      <c r="AD168" s="67"/>
      <c r="AE168" s="67"/>
      <c r="AF168" s="67"/>
      <c r="AG168" s="67"/>
      <c r="AH168" s="67"/>
      <c r="AI168" s="67"/>
      <c r="AJ168" s="67"/>
      <c r="AK168" s="67"/>
      <c r="AL168" s="67"/>
      <c r="AM168" s="67"/>
      <c r="AN168" s="67"/>
      <c r="AO168" s="67"/>
    </row>
    <row r="169" spans="3:41" x14ac:dyDescent="0.25">
      <c r="C169" s="94" t="str">
        <f t="shared" si="29"/>
        <v/>
      </c>
      <c r="D169" s="95">
        <v>19</v>
      </c>
      <c r="E169" s="96" t="str">
        <f>BUNDESLIGA!F206&amp;IF(OR(BUNDESLIGA!G206="",BUNDESLIGA!H206=""),"",IF(BUNDESLIGA!G206&gt;BUNDESLIGA!H206,"",IF(BUNDESLIGA!G206&lt;BUNDESLIGA!H206,"","")))</f>
        <v>Bor. Mönchengladbach</v>
      </c>
      <c r="F169" s="96" t="str">
        <f>BUNDESLIGA!I206&amp;IF(OR(BUNDESLIGA!G206="",BUNDESLIGA!H206=""),"",IF(BUNDESLIGA!G206&lt;BUNDESLIGA!H206,"",IF(BUNDESLIGA!G206&gt;BUNDESLIGA!H206,"","")))</f>
        <v>1. FSV Mainz 05</v>
      </c>
      <c r="G169" s="96" t="str">
        <f>IF(BUNDESLIGA!G206&lt;&gt;"",BUNDESLIGA!G206&amp;" - "&amp;BUNDESLIGA!H206,"")</f>
        <v>3 - 1</v>
      </c>
      <c r="H169" s="96" t="str">
        <f t="shared" si="35"/>
        <v>Bor. Mönchengladbach-1. FSV Mainz 05</v>
      </c>
      <c r="I169" s="96" t="str">
        <f t="shared" si="30"/>
        <v>3</v>
      </c>
      <c r="J169" s="97" t="str">
        <f t="shared" si="31"/>
        <v>1</v>
      </c>
      <c r="L169" s="67">
        <f t="shared" si="32"/>
        <v>3</v>
      </c>
      <c r="M169" s="67">
        <f t="shared" si="33"/>
        <v>0</v>
      </c>
      <c r="O169" s="67" t="str">
        <f t="shared" si="34"/>
        <v/>
      </c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Z169" s="67"/>
      <c r="AA169" s="67"/>
      <c r="AB169" s="67"/>
      <c r="AC169" s="67"/>
      <c r="AD169" s="67"/>
      <c r="AE169" s="67"/>
      <c r="AF169" s="67"/>
      <c r="AG169" s="67"/>
      <c r="AH169" s="67"/>
      <c r="AI169" s="67"/>
      <c r="AJ169" s="67"/>
      <c r="AK169" s="67"/>
      <c r="AL169" s="67"/>
      <c r="AM169" s="67"/>
      <c r="AN169" s="67"/>
      <c r="AO169" s="67"/>
    </row>
    <row r="170" spans="3:41" x14ac:dyDescent="0.25">
      <c r="C170" s="94" t="str">
        <f t="shared" si="29"/>
        <v/>
      </c>
      <c r="D170" s="95">
        <v>19</v>
      </c>
      <c r="E170" s="96" t="str">
        <f>BUNDESLIGA!F207&amp;IF(OR(BUNDESLIGA!G207="",BUNDESLIGA!H207=""),"",IF(BUNDESLIGA!G207&gt;BUNDESLIGA!H207,"",IF(BUNDESLIGA!G207&lt;BUNDESLIGA!H207,"","")))</f>
        <v>Bayern München</v>
      </c>
      <c r="F170" s="96" t="str">
        <f>BUNDESLIGA!I207&amp;IF(OR(BUNDESLIGA!G207="",BUNDESLIGA!H207=""),"",IF(BUNDESLIGA!G207&lt;BUNDESLIGA!H207,"",IF(BUNDESLIGA!G207&gt;BUNDESLIGA!H207,"","")))</f>
        <v>FC Schalke 04</v>
      </c>
      <c r="G170" s="96" t="str">
        <f>IF(BUNDESLIGA!G207&lt;&gt;"",BUNDESLIGA!G207&amp;" - "&amp;BUNDESLIGA!H207,"")</f>
        <v>5 - 0</v>
      </c>
      <c r="H170" s="96" t="str">
        <f t="shared" si="35"/>
        <v>Bayern München-FC Schalke 04</v>
      </c>
      <c r="I170" s="96" t="str">
        <f t="shared" si="30"/>
        <v>5</v>
      </c>
      <c r="J170" s="97" t="str">
        <f t="shared" si="31"/>
        <v>0</v>
      </c>
      <c r="L170" s="67">
        <f t="shared" si="32"/>
        <v>3</v>
      </c>
      <c r="M170" s="67">
        <f t="shared" si="33"/>
        <v>0</v>
      </c>
      <c r="O170" s="67" t="str">
        <f t="shared" si="34"/>
        <v/>
      </c>
      <c r="P170" s="67"/>
      <c r="Q170" s="67"/>
      <c r="R170" s="67"/>
      <c r="S170" s="67"/>
      <c r="T170" s="67"/>
      <c r="U170" s="67"/>
      <c r="V170" s="67"/>
      <c r="W170" s="67"/>
      <c r="X170" s="67"/>
      <c r="Y170" s="67"/>
      <c r="Z170" s="67"/>
      <c r="AA170" s="67"/>
      <c r="AB170" s="67"/>
      <c r="AC170" s="67"/>
      <c r="AD170" s="67"/>
      <c r="AE170" s="67"/>
      <c r="AF170" s="67"/>
      <c r="AG170" s="67"/>
      <c r="AH170" s="67"/>
      <c r="AI170" s="67"/>
      <c r="AJ170" s="67"/>
      <c r="AK170" s="67"/>
      <c r="AL170" s="67"/>
      <c r="AM170" s="67"/>
      <c r="AN170" s="67"/>
      <c r="AO170" s="67"/>
    </row>
    <row r="171" spans="3:41" x14ac:dyDescent="0.25">
      <c r="C171" s="94">
        <f t="shared" si="29"/>
        <v>19</v>
      </c>
      <c r="D171" s="95">
        <v>19</v>
      </c>
      <c r="E171" s="96" t="str">
        <f>BUNDESLIGA!F208&amp;IF(OR(BUNDESLIGA!G208="",BUNDESLIGA!H208=""),"",IF(BUNDESLIGA!G208&gt;BUNDESLIGA!H208,"",IF(BUNDESLIGA!G208&lt;BUNDESLIGA!H208,"","")))</f>
        <v>1. FC Union Berlin</v>
      </c>
      <c r="F171" s="96" t="str">
        <f>BUNDESLIGA!I208&amp;IF(OR(BUNDESLIGA!G208="",BUNDESLIGA!H208=""),"",IF(BUNDESLIGA!G208&lt;BUNDESLIGA!H208,"",IF(BUNDESLIGA!G208&gt;BUNDESLIGA!H208,"","")))</f>
        <v>FC Augsburg</v>
      </c>
      <c r="G171" s="96" t="str">
        <f>IF(BUNDESLIGA!G208&lt;&gt;"",BUNDESLIGA!G208&amp;" - "&amp;BUNDESLIGA!H208,"")</f>
        <v>2 - 0</v>
      </c>
      <c r="H171" s="96" t="str">
        <f t="shared" si="35"/>
        <v>1. FC Union Berlin-FC Augsburg</v>
      </c>
      <c r="I171" s="96" t="str">
        <f t="shared" si="30"/>
        <v>2</v>
      </c>
      <c r="J171" s="97" t="str">
        <f t="shared" si="31"/>
        <v>0</v>
      </c>
      <c r="L171" s="67">
        <f t="shared" si="32"/>
        <v>3</v>
      </c>
      <c r="M171" s="67">
        <f t="shared" si="33"/>
        <v>0</v>
      </c>
      <c r="O171" s="67">
        <f t="shared" si="34"/>
        <v>171</v>
      </c>
      <c r="P171" s="67"/>
      <c r="Q171" s="67"/>
      <c r="R171" s="67"/>
      <c r="S171" s="67"/>
      <c r="T171" s="67"/>
      <c r="U171" s="67"/>
      <c r="V171" s="67"/>
      <c r="W171" s="67"/>
      <c r="X171" s="67"/>
      <c r="Y171" s="67"/>
      <c r="Z171" s="67"/>
      <c r="AA171" s="67"/>
      <c r="AB171" s="67"/>
      <c r="AC171" s="67"/>
      <c r="AD171" s="67"/>
      <c r="AE171" s="67"/>
      <c r="AF171" s="67"/>
      <c r="AG171" s="67"/>
      <c r="AH171" s="67"/>
      <c r="AI171" s="67"/>
      <c r="AJ171" s="67"/>
      <c r="AK171" s="67"/>
      <c r="AL171" s="67"/>
      <c r="AM171" s="67"/>
      <c r="AN171" s="67"/>
      <c r="AO171" s="67"/>
    </row>
    <row r="172" spans="3:41" x14ac:dyDescent="0.25">
      <c r="C172" s="94" t="str">
        <f t="shared" si="29"/>
        <v/>
      </c>
      <c r="D172" s="95">
        <v>19</v>
      </c>
      <c r="E172" s="96" t="str">
        <f>BUNDESLIGA!F209&amp;IF(OR(BUNDESLIGA!G209="",BUNDESLIGA!H209=""),"",IF(BUNDESLIGA!G209&gt;BUNDESLIGA!H209,"",IF(BUNDESLIGA!G209&lt;BUNDESLIGA!H209,"","")))</f>
        <v>Borussia Dortmund</v>
      </c>
      <c r="F172" s="96" t="str">
        <f>BUNDESLIGA!I209&amp;IF(OR(BUNDESLIGA!G209="",BUNDESLIGA!H209=""),"",IF(BUNDESLIGA!G209&lt;BUNDESLIGA!H209,"",IF(BUNDESLIGA!G209&gt;BUNDESLIGA!H209,"","")))</f>
        <v>1. FC Köln</v>
      </c>
      <c r="G172" s="96" t="str">
        <f>IF(BUNDESLIGA!G209&lt;&gt;"",BUNDESLIGA!G209&amp;" - "&amp;BUNDESLIGA!H209,"")</f>
        <v>5 - 1</v>
      </c>
      <c r="H172" s="96" t="str">
        <f t="shared" si="35"/>
        <v>Borussia Dortmund-1. FC Köln</v>
      </c>
      <c r="I172" s="96" t="str">
        <f t="shared" si="30"/>
        <v>5</v>
      </c>
      <c r="J172" s="97" t="str">
        <f t="shared" si="31"/>
        <v>1</v>
      </c>
      <c r="L172" s="67">
        <f t="shared" si="32"/>
        <v>3</v>
      </c>
      <c r="M172" s="67">
        <f t="shared" si="33"/>
        <v>0</v>
      </c>
      <c r="O172" s="67" t="str">
        <f t="shared" si="34"/>
        <v/>
      </c>
      <c r="P172" s="67"/>
      <c r="Q172" s="67"/>
      <c r="R172" s="67"/>
      <c r="S172" s="67"/>
      <c r="T172" s="67"/>
      <c r="U172" s="67"/>
      <c r="V172" s="67"/>
      <c r="W172" s="67"/>
      <c r="X172" s="67"/>
      <c r="Y172" s="67"/>
      <c r="Z172" s="67"/>
      <c r="AA172" s="67"/>
      <c r="AB172" s="67"/>
      <c r="AC172" s="67"/>
      <c r="AD172" s="67"/>
      <c r="AE172" s="67"/>
      <c r="AF172" s="67"/>
      <c r="AG172" s="67"/>
      <c r="AH172" s="67"/>
      <c r="AI172" s="67"/>
      <c r="AJ172" s="67"/>
      <c r="AK172" s="67"/>
      <c r="AL172" s="67"/>
      <c r="AM172" s="67"/>
      <c r="AN172" s="67"/>
      <c r="AO172" s="67"/>
    </row>
    <row r="173" spans="3:41" x14ac:dyDescent="0.25">
      <c r="C173" s="94" t="str">
        <f t="shared" si="29"/>
        <v/>
      </c>
      <c r="D173" s="95">
        <v>19</v>
      </c>
      <c r="E173" s="96" t="str">
        <f>BUNDESLIGA!F210&amp;IF(OR(BUNDESLIGA!G210="",BUNDESLIGA!H210=""),"",IF(BUNDESLIGA!G210&gt;BUNDESLIGA!H210,"",IF(BUNDESLIGA!G210&lt;BUNDESLIGA!H210,"","")))</f>
        <v>SC Freiburg</v>
      </c>
      <c r="F173" s="96" t="str">
        <f>BUNDESLIGA!I210&amp;IF(OR(BUNDESLIGA!G210="",BUNDESLIGA!H210=""),"",IF(BUNDESLIGA!G210&lt;BUNDESLIGA!H210,"",IF(BUNDESLIGA!G210&gt;BUNDESLIGA!H210,"","")))</f>
        <v>SC Paderborn 07</v>
      </c>
      <c r="G173" s="96" t="str">
        <f>IF(BUNDESLIGA!G210&lt;&gt;"",BUNDESLIGA!G210&amp;" - "&amp;BUNDESLIGA!H210,"")</f>
        <v>0 - 2</v>
      </c>
      <c r="H173" s="96" t="str">
        <f t="shared" si="35"/>
        <v>SC Freiburg-SC Paderborn 07</v>
      </c>
      <c r="I173" s="96" t="str">
        <f t="shared" si="30"/>
        <v>0</v>
      </c>
      <c r="J173" s="97" t="str">
        <f t="shared" si="31"/>
        <v>2</v>
      </c>
      <c r="L173" s="67">
        <f t="shared" si="32"/>
        <v>0</v>
      </c>
      <c r="M173" s="67">
        <f t="shared" si="33"/>
        <v>3</v>
      </c>
      <c r="O173" s="67" t="str">
        <f t="shared" si="34"/>
        <v/>
      </c>
      <c r="P173" s="67"/>
      <c r="Q173" s="67"/>
      <c r="R173" s="67"/>
      <c r="S173" s="67"/>
      <c r="T173" s="67"/>
      <c r="U173" s="67"/>
      <c r="V173" s="67"/>
      <c r="W173" s="67"/>
      <c r="X173" s="67"/>
      <c r="Y173" s="67"/>
      <c r="Z173" s="67"/>
      <c r="AA173" s="67"/>
      <c r="AB173" s="67"/>
      <c r="AC173" s="67"/>
      <c r="AD173" s="67"/>
      <c r="AE173" s="67"/>
      <c r="AF173" s="67"/>
      <c r="AG173" s="67"/>
      <c r="AH173" s="67"/>
      <c r="AI173" s="67"/>
      <c r="AJ173" s="67"/>
      <c r="AK173" s="67"/>
      <c r="AL173" s="67"/>
      <c r="AM173" s="67"/>
      <c r="AN173" s="67"/>
      <c r="AO173" s="67"/>
    </row>
    <row r="174" spans="3:41" x14ac:dyDescent="0.25">
      <c r="C174" s="94" t="str">
        <f t="shared" si="29"/>
        <v/>
      </c>
      <c r="D174" s="95">
        <v>20</v>
      </c>
      <c r="E174" s="96" t="str">
        <f>BUNDESLIGA!F213&amp;IF(OR(BUNDESLIGA!G213="",BUNDESLIGA!H213=""),"",IF(BUNDESLIGA!G213&gt;BUNDESLIGA!H213,"",IF(BUNDESLIGA!G213&lt;BUNDESLIGA!H213,"","")))</f>
        <v>1. FSV Mainz 05</v>
      </c>
      <c r="F174" s="96" t="str">
        <f>BUNDESLIGA!I213&amp;IF(OR(BUNDESLIGA!G213="",BUNDESLIGA!H213=""),"",IF(BUNDESLIGA!G213&lt;BUNDESLIGA!H213,"",IF(BUNDESLIGA!G213&gt;BUNDESLIGA!H213,"","")))</f>
        <v>Bayern München</v>
      </c>
      <c r="G174" s="96" t="str">
        <f>IF(BUNDESLIGA!G213&lt;&gt;"",BUNDESLIGA!G213&amp;" - "&amp;BUNDESLIGA!H213,"")</f>
        <v>1 - 3</v>
      </c>
      <c r="H174" s="96" t="str">
        <f t="shared" si="35"/>
        <v>1. FSV Mainz 05-Bayern München</v>
      </c>
      <c r="I174" s="96" t="str">
        <f t="shared" si="30"/>
        <v>1</v>
      </c>
      <c r="J174" s="97" t="str">
        <f t="shared" si="31"/>
        <v>3</v>
      </c>
      <c r="L174" s="67">
        <f t="shared" si="32"/>
        <v>0</v>
      </c>
      <c r="M174" s="67">
        <f t="shared" si="33"/>
        <v>3</v>
      </c>
      <c r="O174" s="67" t="str">
        <f t="shared" si="34"/>
        <v/>
      </c>
      <c r="P174" s="67"/>
      <c r="Q174" s="67"/>
      <c r="R174" s="67"/>
      <c r="S174" s="67"/>
      <c r="T174" s="67"/>
      <c r="U174" s="67"/>
      <c r="V174" s="67"/>
      <c r="W174" s="67"/>
      <c r="X174" s="67"/>
      <c r="Y174" s="67"/>
      <c r="Z174" s="67"/>
      <c r="AA174" s="67"/>
      <c r="AB174" s="67"/>
      <c r="AC174" s="67"/>
      <c r="AD174" s="67"/>
      <c r="AE174" s="67"/>
      <c r="AF174" s="67"/>
      <c r="AG174" s="67"/>
      <c r="AH174" s="67"/>
      <c r="AI174" s="67"/>
      <c r="AJ174" s="67"/>
      <c r="AK174" s="67"/>
      <c r="AL174" s="67"/>
      <c r="AM174" s="67"/>
      <c r="AN174" s="67"/>
      <c r="AO174" s="67"/>
    </row>
    <row r="175" spans="3:41" x14ac:dyDescent="0.25">
      <c r="C175" s="94" t="str">
        <f t="shared" si="29"/>
        <v/>
      </c>
      <c r="D175" s="95">
        <v>20</v>
      </c>
      <c r="E175" s="96" t="str">
        <f>BUNDESLIGA!F214&amp;IF(OR(BUNDESLIGA!G214="",BUNDESLIGA!H214=""),"",IF(BUNDESLIGA!G214&gt;BUNDESLIGA!H214,"",IF(BUNDESLIGA!G214&lt;BUNDESLIGA!H214,"","")))</f>
        <v>1899 Hoffenheim</v>
      </c>
      <c r="F175" s="96" t="str">
        <f>BUNDESLIGA!I214&amp;IF(OR(BUNDESLIGA!G214="",BUNDESLIGA!H214=""),"",IF(BUNDESLIGA!G214&lt;BUNDESLIGA!H214,"",IF(BUNDESLIGA!G214&gt;BUNDESLIGA!H214,"","")))</f>
        <v>Bayer Leverkusen</v>
      </c>
      <c r="G175" s="96" t="str">
        <f>IF(BUNDESLIGA!G214&lt;&gt;"",BUNDESLIGA!G214&amp;" - "&amp;BUNDESLIGA!H214,"")</f>
        <v>2 - 1</v>
      </c>
      <c r="H175" s="96" t="str">
        <f t="shared" si="35"/>
        <v>1899 Hoffenheim-Bayer Leverkusen</v>
      </c>
      <c r="I175" s="96" t="str">
        <f t="shared" si="30"/>
        <v>2</v>
      </c>
      <c r="J175" s="97" t="str">
        <f t="shared" si="31"/>
        <v>1</v>
      </c>
      <c r="L175" s="67">
        <f t="shared" si="32"/>
        <v>3</v>
      </c>
      <c r="M175" s="67">
        <f t="shared" si="33"/>
        <v>0</v>
      </c>
      <c r="O175" s="67" t="str">
        <f t="shared" si="34"/>
        <v/>
      </c>
      <c r="P175" s="67"/>
      <c r="Q175" s="67"/>
      <c r="R175" s="67"/>
      <c r="S175" s="67"/>
      <c r="T175" s="67"/>
      <c r="U175" s="67"/>
      <c r="V175" s="67"/>
      <c r="W175" s="67"/>
      <c r="X175" s="67"/>
      <c r="Y175" s="67"/>
      <c r="Z175" s="67"/>
      <c r="AA175" s="67"/>
      <c r="AB175" s="67"/>
      <c r="AC175" s="67"/>
      <c r="AD175" s="67"/>
      <c r="AE175" s="67"/>
      <c r="AF175" s="67"/>
      <c r="AG175" s="67"/>
      <c r="AH175" s="67"/>
      <c r="AI175" s="67"/>
      <c r="AJ175" s="67"/>
      <c r="AK175" s="67"/>
      <c r="AL175" s="67"/>
      <c r="AM175" s="67"/>
      <c r="AN175" s="67"/>
      <c r="AO175" s="67"/>
    </row>
    <row r="176" spans="3:41" x14ac:dyDescent="0.25">
      <c r="C176" s="94" t="str">
        <f t="shared" si="29"/>
        <v/>
      </c>
      <c r="D176" s="95">
        <v>20</v>
      </c>
      <c r="E176" s="96" t="str">
        <f>BUNDESLIGA!F215&amp;IF(OR(BUNDESLIGA!G215="",BUNDESLIGA!H215=""),"",IF(BUNDESLIGA!G215&gt;BUNDESLIGA!H215,"",IF(BUNDESLIGA!G215&lt;BUNDESLIGA!H215,"","")))</f>
        <v>RB Leipzig</v>
      </c>
      <c r="F176" s="96" t="str">
        <f>BUNDESLIGA!I215&amp;IF(OR(BUNDESLIGA!G215="",BUNDESLIGA!H215=""),"",IF(BUNDESLIGA!G215&lt;BUNDESLIGA!H215,"",IF(BUNDESLIGA!G215&gt;BUNDESLIGA!H215,"","")))</f>
        <v>Bor. Mönchengladbach</v>
      </c>
      <c r="G176" s="96" t="str">
        <f>IF(BUNDESLIGA!G215&lt;&gt;"",BUNDESLIGA!G215&amp;" - "&amp;BUNDESLIGA!H215,"")</f>
        <v>2 - 2</v>
      </c>
      <c r="H176" s="96" t="str">
        <f t="shared" si="35"/>
        <v>RB Leipzig-Bor. Mönchengladbach</v>
      </c>
      <c r="I176" s="96" t="str">
        <f t="shared" si="30"/>
        <v>2</v>
      </c>
      <c r="J176" s="97" t="str">
        <f t="shared" si="31"/>
        <v>2</v>
      </c>
      <c r="L176" s="67">
        <f t="shared" si="32"/>
        <v>1</v>
      </c>
      <c r="M176" s="67">
        <f t="shared" si="33"/>
        <v>1</v>
      </c>
      <c r="O176" s="67" t="str">
        <f t="shared" si="34"/>
        <v/>
      </c>
      <c r="P176" s="67"/>
      <c r="Q176" s="67"/>
      <c r="R176" s="67"/>
      <c r="S176" s="67"/>
      <c r="T176" s="67"/>
      <c r="U176" s="67"/>
      <c r="V176" s="67"/>
      <c r="W176" s="67"/>
      <c r="X176" s="67"/>
      <c r="Y176" s="67"/>
      <c r="Z176" s="67"/>
      <c r="AA176" s="67"/>
      <c r="AB176" s="67"/>
      <c r="AC176" s="67"/>
      <c r="AD176" s="67"/>
      <c r="AE176" s="67"/>
      <c r="AF176" s="67"/>
      <c r="AG176" s="67"/>
      <c r="AH176" s="67"/>
      <c r="AI176" s="67"/>
      <c r="AJ176" s="67"/>
      <c r="AK176" s="67"/>
      <c r="AL176" s="67"/>
      <c r="AM176" s="67"/>
      <c r="AN176" s="67"/>
      <c r="AO176" s="67"/>
    </row>
    <row r="177" spans="3:41" x14ac:dyDescent="0.25">
      <c r="C177" s="94" t="str">
        <f t="shared" si="29"/>
        <v/>
      </c>
      <c r="D177" s="95">
        <v>20</v>
      </c>
      <c r="E177" s="96" t="str">
        <f>BUNDESLIGA!F216&amp;IF(OR(BUNDESLIGA!G216="",BUNDESLIGA!H216=""),"",IF(BUNDESLIGA!G216&gt;BUNDESLIGA!H216,"",IF(BUNDESLIGA!G216&lt;BUNDESLIGA!H216,"","")))</f>
        <v>SC Paderborn 07</v>
      </c>
      <c r="F177" s="96" t="str">
        <f>BUNDESLIGA!I216&amp;IF(OR(BUNDESLIGA!G216="",BUNDESLIGA!H216=""),"",IF(BUNDESLIGA!G216&lt;BUNDESLIGA!H216,"",IF(BUNDESLIGA!G216&gt;BUNDESLIGA!H216,"","")))</f>
        <v>VfL Wolfsburg</v>
      </c>
      <c r="G177" s="96" t="str">
        <f>IF(BUNDESLIGA!G216&lt;&gt;"",BUNDESLIGA!G216&amp;" - "&amp;BUNDESLIGA!H216,"")</f>
        <v>2 - 4</v>
      </c>
      <c r="H177" s="96" t="str">
        <f t="shared" si="35"/>
        <v>SC Paderborn 07-VfL Wolfsburg</v>
      </c>
      <c r="I177" s="96" t="str">
        <f t="shared" si="30"/>
        <v>2</v>
      </c>
      <c r="J177" s="97" t="str">
        <f t="shared" si="31"/>
        <v>4</v>
      </c>
      <c r="L177" s="67">
        <f t="shared" si="32"/>
        <v>0</v>
      </c>
      <c r="M177" s="67">
        <f t="shared" si="33"/>
        <v>3</v>
      </c>
      <c r="O177" s="67" t="str">
        <f t="shared" si="34"/>
        <v/>
      </c>
      <c r="P177" s="67"/>
      <c r="Q177" s="67"/>
      <c r="R177" s="67"/>
      <c r="S177" s="67"/>
      <c r="T177" s="67"/>
      <c r="U177" s="67"/>
      <c r="V177" s="67"/>
      <c r="W177" s="67"/>
      <c r="X177" s="67"/>
      <c r="Y177" s="67"/>
      <c r="Z177" s="67"/>
      <c r="AA177" s="67"/>
      <c r="AB177" s="67"/>
      <c r="AC177" s="67"/>
      <c r="AD177" s="67"/>
      <c r="AE177" s="67"/>
      <c r="AF177" s="67"/>
      <c r="AG177" s="67"/>
      <c r="AH177" s="67"/>
      <c r="AI177" s="67"/>
      <c r="AJ177" s="67"/>
      <c r="AK177" s="67"/>
      <c r="AL177" s="67"/>
      <c r="AM177" s="67"/>
      <c r="AN177" s="67"/>
      <c r="AO177" s="67"/>
    </row>
    <row r="178" spans="3:41" x14ac:dyDescent="0.25">
      <c r="C178" s="94" t="str">
        <f t="shared" si="29"/>
        <v/>
      </c>
      <c r="D178" s="95">
        <v>20</v>
      </c>
      <c r="E178" s="96" t="str">
        <f>BUNDESLIGA!F217&amp;IF(OR(BUNDESLIGA!G217="",BUNDESLIGA!H217=""),"",IF(BUNDESLIGA!G217&gt;BUNDESLIGA!H217,"",IF(BUNDESLIGA!G217&lt;BUNDESLIGA!H217,"","")))</f>
        <v>Fortuna Düsseldorf</v>
      </c>
      <c r="F178" s="96" t="str">
        <f>BUNDESLIGA!I217&amp;IF(OR(BUNDESLIGA!G217="",BUNDESLIGA!H217=""),"",IF(BUNDESLIGA!G217&lt;BUNDESLIGA!H217,"",IF(BUNDESLIGA!G217&gt;BUNDESLIGA!H217,"","")))</f>
        <v>Eintracht Frankfurt</v>
      </c>
      <c r="G178" s="96" t="str">
        <f>IF(BUNDESLIGA!G217&lt;&gt;"",BUNDESLIGA!G217&amp;" - "&amp;BUNDESLIGA!H217,"")</f>
        <v>1 - 1</v>
      </c>
      <c r="H178" s="96" t="str">
        <f t="shared" si="35"/>
        <v>Fortuna Düsseldorf-Eintracht Frankfurt</v>
      </c>
      <c r="I178" s="96" t="str">
        <f t="shared" si="30"/>
        <v>1</v>
      </c>
      <c r="J178" s="97" t="str">
        <f t="shared" si="31"/>
        <v>1</v>
      </c>
      <c r="L178" s="67">
        <f t="shared" si="32"/>
        <v>1</v>
      </c>
      <c r="M178" s="67">
        <f t="shared" si="33"/>
        <v>1</v>
      </c>
      <c r="O178" s="67" t="str">
        <f t="shared" si="34"/>
        <v/>
      </c>
      <c r="P178" s="67"/>
      <c r="Q178" s="67"/>
      <c r="R178" s="67"/>
      <c r="S178" s="67"/>
      <c r="T178" s="67"/>
      <c r="U178" s="67"/>
      <c r="V178" s="67"/>
      <c r="W178" s="67"/>
      <c r="X178" s="67"/>
      <c r="Y178" s="67"/>
      <c r="Z178" s="67"/>
      <c r="AA178" s="67"/>
      <c r="AB178" s="67"/>
      <c r="AC178" s="67"/>
      <c r="AD178" s="67"/>
      <c r="AE178" s="67"/>
      <c r="AF178" s="67"/>
      <c r="AG178" s="67"/>
      <c r="AH178" s="67"/>
      <c r="AI178" s="67"/>
      <c r="AJ178" s="67"/>
      <c r="AK178" s="67"/>
      <c r="AL178" s="67"/>
      <c r="AM178" s="67"/>
      <c r="AN178" s="67"/>
      <c r="AO178" s="67"/>
    </row>
    <row r="179" spans="3:41" x14ac:dyDescent="0.25">
      <c r="C179" s="94">
        <f t="shared" si="29"/>
        <v>20</v>
      </c>
      <c r="D179" s="95">
        <v>20</v>
      </c>
      <c r="E179" s="96" t="str">
        <f>BUNDESLIGA!F218&amp;IF(OR(BUNDESLIGA!G218="",BUNDESLIGA!H218=""),"",IF(BUNDESLIGA!G218&gt;BUNDESLIGA!H218,"",IF(BUNDESLIGA!G218&lt;BUNDESLIGA!H218,"","")))</f>
        <v>FC Augsburg</v>
      </c>
      <c r="F179" s="96" t="str">
        <f>BUNDESLIGA!I218&amp;IF(OR(BUNDESLIGA!G218="",BUNDESLIGA!H218=""),"",IF(BUNDESLIGA!G218&lt;BUNDESLIGA!H218,"",IF(BUNDESLIGA!G218&gt;BUNDESLIGA!H218,"","")))</f>
        <v>Werder Bremen</v>
      </c>
      <c r="G179" s="96" t="str">
        <f>IF(BUNDESLIGA!G218&lt;&gt;"",BUNDESLIGA!G218&amp;" - "&amp;BUNDESLIGA!H218,"")</f>
        <v>2 - 1</v>
      </c>
      <c r="H179" s="96" t="str">
        <f t="shared" si="35"/>
        <v>FC Augsburg-Werder Bremen</v>
      </c>
      <c r="I179" s="96" t="str">
        <f t="shared" si="30"/>
        <v>2</v>
      </c>
      <c r="J179" s="97" t="str">
        <f t="shared" si="31"/>
        <v>1</v>
      </c>
      <c r="L179" s="67">
        <f t="shared" si="32"/>
        <v>3</v>
      </c>
      <c r="M179" s="67">
        <f t="shared" si="33"/>
        <v>0</v>
      </c>
      <c r="O179" s="67">
        <f t="shared" si="34"/>
        <v>179</v>
      </c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A179" s="67"/>
      <c r="AB179" s="67"/>
      <c r="AC179" s="67"/>
      <c r="AD179" s="67"/>
      <c r="AE179" s="67"/>
      <c r="AF179" s="67"/>
      <c r="AG179" s="67"/>
      <c r="AH179" s="67"/>
      <c r="AI179" s="67"/>
      <c r="AJ179" s="67"/>
      <c r="AK179" s="67"/>
      <c r="AL179" s="67"/>
      <c r="AM179" s="67"/>
      <c r="AN179" s="67"/>
      <c r="AO179" s="67"/>
    </row>
    <row r="180" spans="3:41" x14ac:dyDescent="0.25">
      <c r="C180" s="94" t="str">
        <f t="shared" si="29"/>
        <v/>
      </c>
      <c r="D180" s="95">
        <v>20</v>
      </c>
      <c r="E180" s="96" t="str">
        <f>BUNDESLIGA!F219&amp;IF(OR(BUNDESLIGA!G219="",BUNDESLIGA!H219=""),"",IF(BUNDESLIGA!G219&gt;BUNDESLIGA!H219,"",IF(BUNDESLIGA!G219&lt;BUNDESLIGA!H219,"","")))</f>
        <v>1. FC Köln</v>
      </c>
      <c r="F180" s="96" t="str">
        <f>BUNDESLIGA!I219&amp;IF(OR(BUNDESLIGA!G219="",BUNDESLIGA!H219=""),"",IF(BUNDESLIGA!G219&lt;BUNDESLIGA!H219,"",IF(BUNDESLIGA!G219&gt;BUNDESLIGA!H219,"","")))</f>
        <v>SC Freiburg</v>
      </c>
      <c r="G180" s="96" t="str">
        <f>IF(BUNDESLIGA!G219&lt;&gt;"",BUNDESLIGA!G219&amp;" - "&amp;BUNDESLIGA!H219,"")</f>
        <v>4 - 0</v>
      </c>
      <c r="H180" s="96" t="str">
        <f t="shared" si="35"/>
        <v>1. FC Köln-SC Freiburg</v>
      </c>
      <c r="I180" s="96" t="str">
        <f t="shared" si="30"/>
        <v>4</v>
      </c>
      <c r="J180" s="97" t="str">
        <f t="shared" si="31"/>
        <v>0</v>
      </c>
      <c r="L180" s="67">
        <f t="shared" si="32"/>
        <v>3</v>
      </c>
      <c r="M180" s="67">
        <f t="shared" si="33"/>
        <v>0</v>
      </c>
      <c r="O180" s="67" t="str">
        <f t="shared" si="34"/>
        <v/>
      </c>
      <c r="P180" s="67"/>
      <c r="Q180" s="67"/>
      <c r="R180" s="67"/>
      <c r="S180" s="67"/>
      <c r="T180" s="67"/>
      <c r="U180" s="67"/>
      <c r="V180" s="67"/>
      <c r="W180" s="67"/>
      <c r="X180" s="67"/>
      <c r="Y180" s="67"/>
      <c r="Z180" s="67"/>
      <c r="AA180" s="67"/>
      <c r="AB180" s="67"/>
      <c r="AC180" s="67"/>
      <c r="AD180" s="67"/>
      <c r="AE180" s="67"/>
      <c r="AF180" s="67"/>
      <c r="AG180" s="67"/>
      <c r="AH180" s="67"/>
      <c r="AI180" s="67"/>
      <c r="AJ180" s="67"/>
      <c r="AK180" s="67"/>
      <c r="AL180" s="67"/>
      <c r="AM180" s="67"/>
      <c r="AN180" s="67"/>
      <c r="AO180" s="67"/>
    </row>
    <row r="181" spans="3:41" x14ac:dyDescent="0.25">
      <c r="C181" s="94" t="str">
        <f t="shared" si="29"/>
        <v/>
      </c>
      <c r="D181" s="95">
        <v>20</v>
      </c>
      <c r="E181" s="96" t="str">
        <f>BUNDESLIGA!F220&amp;IF(OR(BUNDESLIGA!G220="",BUNDESLIGA!H220=""),"",IF(BUNDESLIGA!G220&gt;BUNDESLIGA!H220,"",IF(BUNDESLIGA!G220&lt;BUNDESLIGA!H220,"","")))</f>
        <v>Hertha BSC</v>
      </c>
      <c r="F181" s="96" t="str">
        <f>BUNDESLIGA!I220&amp;IF(OR(BUNDESLIGA!G220="",BUNDESLIGA!H220=""),"",IF(BUNDESLIGA!G220&lt;BUNDESLIGA!H220,"",IF(BUNDESLIGA!G220&gt;BUNDESLIGA!H220,"","")))</f>
        <v>FC Schalke 04</v>
      </c>
      <c r="G181" s="96" t="str">
        <f>IF(BUNDESLIGA!G220&lt;&gt;"",BUNDESLIGA!G220&amp;" - "&amp;BUNDESLIGA!H220,"")</f>
        <v>0 - 0</v>
      </c>
      <c r="H181" s="96" t="str">
        <f t="shared" si="35"/>
        <v>Hertha BSC-FC Schalke 04</v>
      </c>
      <c r="I181" s="96" t="str">
        <f t="shared" si="30"/>
        <v>0</v>
      </c>
      <c r="J181" s="97" t="str">
        <f t="shared" si="31"/>
        <v>0</v>
      </c>
      <c r="L181" s="67">
        <f t="shared" si="32"/>
        <v>1</v>
      </c>
      <c r="M181" s="67">
        <f t="shared" si="33"/>
        <v>1</v>
      </c>
      <c r="O181" s="67" t="str">
        <f t="shared" si="34"/>
        <v/>
      </c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A181" s="67"/>
      <c r="AB181" s="67"/>
      <c r="AC181" s="67"/>
      <c r="AD181" s="67"/>
      <c r="AE181" s="67"/>
      <c r="AF181" s="67"/>
      <c r="AG181" s="67"/>
      <c r="AH181" s="67"/>
      <c r="AI181" s="67"/>
      <c r="AJ181" s="67"/>
      <c r="AK181" s="67"/>
      <c r="AL181" s="67"/>
      <c r="AM181" s="67"/>
      <c r="AN181" s="67"/>
      <c r="AO181" s="67"/>
    </row>
    <row r="182" spans="3:41" x14ac:dyDescent="0.25">
      <c r="C182" s="94" t="str">
        <f t="shared" si="29"/>
        <v/>
      </c>
      <c r="D182" s="95">
        <v>20</v>
      </c>
      <c r="E182" s="96" t="str">
        <f>BUNDESLIGA!F221&amp;IF(OR(BUNDESLIGA!G221="",BUNDESLIGA!H221=""),"",IF(BUNDESLIGA!G221&gt;BUNDESLIGA!H221,"",IF(BUNDESLIGA!G221&lt;BUNDESLIGA!H221,"","")))</f>
        <v>Borussia Dortmund</v>
      </c>
      <c r="F182" s="96" t="str">
        <f>BUNDESLIGA!I221&amp;IF(OR(BUNDESLIGA!G221="",BUNDESLIGA!H221=""),"",IF(BUNDESLIGA!G221&lt;BUNDESLIGA!H221,"",IF(BUNDESLIGA!G221&gt;BUNDESLIGA!H221,"","")))</f>
        <v>1. FC Union Berlin</v>
      </c>
      <c r="G182" s="96" t="str">
        <f>IF(BUNDESLIGA!G221&lt;&gt;"",BUNDESLIGA!G221&amp;" - "&amp;BUNDESLIGA!H221,"")</f>
        <v>5 - 0</v>
      </c>
      <c r="H182" s="96" t="str">
        <f t="shared" si="35"/>
        <v>Borussia Dortmund-1. FC Union Berlin</v>
      </c>
      <c r="I182" s="96" t="str">
        <f t="shared" si="30"/>
        <v>5</v>
      </c>
      <c r="J182" s="97" t="str">
        <f t="shared" si="31"/>
        <v>0</v>
      </c>
      <c r="L182" s="67">
        <f t="shared" si="32"/>
        <v>3</v>
      </c>
      <c r="M182" s="67">
        <f t="shared" si="33"/>
        <v>0</v>
      </c>
      <c r="O182" s="67" t="str">
        <f t="shared" si="34"/>
        <v/>
      </c>
      <c r="P182" s="67"/>
      <c r="Q182" s="67"/>
      <c r="R182" s="67"/>
      <c r="S182" s="67"/>
      <c r="T182" s="67"/>
      <c r="U182" s="67"/>
      <c r="V182" s="67"/>
      <c r="W182" s="67"/>
      <c r="X182" s="67"/>
      <c r="Y182" s="67"/>
      <c r="Z182" s="67"/>
      <c r="AA182" s="67"/>
      <c r="AB182" s="67"/>
      <c r="AC182" s="67"/>
      <c r="AD182" s="67"/>
      <c r="AE182" s="67"/>
      <c r="AF182" s="67"/>
      <c r="AG182" s="67"/>
      <c r="AH182" s="67"/>
      <c r="AI182" s="67"/>
      <c r="AJ182" s="67"/>
      <c r="AK182" s="67"/>
      <c r="AL182" s="67"/>
      <c r="AM182" s="67"/>
      <c r="AN182" s="67"/>
      <c r="AO182" s="67"/>
    </row>
    <row r="183" spans="3:41" x14ac:dyDescent="0.25">
      <c r="C183" s="94" t="str">
        <f t="shared" si="29"/>
        <v/>
      </c>
      <c r="D183" s="95">
        <v>21</v>
      </c>
      <c r="E183" s="96" t="str">
        <f>BUNDESLIGA!F224&amp;IF(OR(BUNDESLIGA!G224="",BUNDESLIGA!H224=""),"",IF(BUNDESLIGA!G224&gt;BUNDESLIGA!H224,"",IF(BUNDESLIGA!G224&lt;BUNDESLIGA!H224,"","")))</f>
        <v>Bayer Leverkusen</v>
      </c>
      <c r="F183" s="96" t="str">
        <f>BUNDESLIGA!I224&amp;IF(OR(BUNDESLIGA!G224="",BUNDESLIGA!H224=""),"",IF(BUNDESLIGA!G224&lt;BUNDESLIGA!H224,"",IF(BUNDESLIGA!G224&gt;BUNDESLIGA!H224,"","")))</f>
        <v>Borussia Dortmund</v>
      </c>
      <c r="G183" s="96" t="str">
        <f>IF(BUNDESLIGA!G224&lt;&gt;"",BUNDESLIGA!G224&amp;" - "&amp;BUNDESLIGA!H224,"")</f>
        <v>4 - 3</v>
      </c>
      <c r="H183" s="96" t="str">
        <f t="shared" si="35"/>
        <v>Bayer Leverkusen-Borussia Dortmund</v>
      </c>
      <c r="I183" s="96" t="str">
        <f t="shared" si="30"/>
        <v>4</v>
      </c>
      <c r="J183" s="97" t="str">
        <f t="shared" si="31"/>
        <v>3</v>
      </c>
      <c r="L183" s="67">
        <f t="shared" si="32"/>
        <v>3</v>
      </c>
      <c r="M183" s="67">
        <f t="shared" si="33"/>
        <v>0</v>
      </c>
      <c r="O183" s="67" t="str">
        <f t="shared" si="34"/>
        <v/>
      </c>
      <c r="P183" s="67"/>
      <c r="Q183" s="67"/>
      <c r="R183" s="67"/>
      <c r="S183" s="67"/>
      <c r="T183" s="67"/>
      <c r="U183" s="67"/>
      <c r="V183" s="67"/>
      <c r="W183" s="67"/>
      <c r="X183" s="67"/>
      <c r="Y183" s="67"/>
      <c r="Z183" s="67"/>
      <c r="AA183" s="67"/>
      <c r="AB183" s="67"/>
      <c r="AC183" s="67"/>
      <c r="AD183" s="67"/>
      <c r="AE183" s="67"/>
      <c r="AF183" s="67"/>
      <c r="AG183" s="67"/>
      <c r="AH183" s="67"/>
      <c r="AI183" s="67"/>
      <c r="AJ183" s="67"/>
      <c r="AK183" s="67"/>
      <c r="AL183" s="67"/>
      <c r="AM183" s="67"/>
      <c r="AN183" s="67"/>
      <c r="AO183" s="67"/>
    </row>
    <row r="184" spans="3:41" x14ac:dyDescent="0.25">
      <c r="C184" s="94" t="str">
        <f t="shared" si="29"/>
        <v/>
      </c>
      <c r="D184" s="95">
        <v>21</v>
      </c>
      <c r="E184" s="96" t="str">
        <f>BUNDESLIGA!F225&amp;IF(OR(BUNDESLIGA!G225="",BUNDESLIGA!H225=""),"",IF(BUNDESLIGA!G225&gt;BUNDESLIGA!H225,"",IF(BUNDESLIGA!G225&lt;BUNDESLIGA!H225,"","")))</f>
        <v>Bayern München</v>
      </c>
      <c r="F184" s="96" t="str">
        <f>BUNDESLIGA!I225&amp;IF(OR(BUNDESLIGA!G225="",BUNDESLIGA!H225=""),"",IF(BUNDESLIGA!G225&lt;BUNDESLIGA!H225,"",IF(BUNDESLIGA!G225&gt;BUNDESLIGA!H225,"","")))</f>
        <v>RB Leipzig</v>
      </c>
      <c r="G184" s="96" t="str">
        <f>IF(BUNDESLIGA!G225&lt;&gt;"",BUNDESLIGA!G225&amp;" - "&amp;BUNDESLIGA!H225,"")</f>
        <v>0 - 0</v>
      </c>
      <c r="H184" s="96" t="str">
        <f t="shared" si="35"/>
        <v>Bayern München-RB Leipzig</v>
      </c>
      <c r="I184" s="96" t="str">
        <f t="shared" si="30"/>
        <v>0</v>
      </c>
      <c r="J184" s="97" t="str">
        <f t="shared" si="31"/>
        <v>0</v>
      </c>
      <c r="L184" s="67">
        <f t="shared" si="32"/>
        <v>1</v>
      </c>
      <c r="M184" s="67">
        <f t="shared" si="33"/>
        <v>1</v>
      </c>
      <c r="O184" s="67" t="str">
        <f t="shared" si="34"/>
        <v/>
      </c>
      <c r="P184" s="67"/>
      <c r="Q184" s="67"/>
      <c r="R184" s="67"/>
      <c r="S184" s="67"/>
      <c r="T184" s="67"/>
      <c r="U184" s="67"/>
      <c r="V184" s="67"/>
      <c r="W184" s="67"/>
      <c r="X184" s="67"/>
      <c r="Y184" s="67"/>
      <c r="Z184" s="67"/>
      <c r="AA184" s="67"/>
      <c r="AB184" s="67"/>
      <c r="AC184" s="67"/>
      <c r="AD184" s="67"/>
      <c r="AE184" s="67"/>
      <c r="AF184" s="67"/>
      <c r="AG184" s="67"/>
      <c r="AH184" s="67"/>
      <c r="AI184" s="67"/>
      <c r="AJ184" s="67"/>
      <c r="AK184" s="67"/>
      <c r="AL184" s="67"/>
      <c r="AM184" s="67"/>
      <c r="AN184" s="67"/>
      <c r="AO184" s="67"/>
    </row>
    <row r="185" spans="3:41" x14ac:dyDescent="0.25">
      <c r="C185" s="94" t="str">
        <f t="shared" si="29"/>
        <v/>
      </c>
      <c r="D185" s="95">
        <v>21</v>
      </c>
      <c r="E185" s="96" t="str">
        <f>BUNDESLIGA!F226&amp;IF(OR(BUNDESLIGA!G226="",BUNDESLIGA!H226=""),"",IF(BUNDESLIGA!G226&gt;BUNDESLIGA!H226,"",IF(BUNDESLIGA!G226&lt;BUNDESLIGA!H226,"","")))</f>
        <v>SC Freiburg</v>
      </c>
      <c r="F185" s="96" t="str">
        <f>BUNDESLIGA!I226&amp;IF(OR(BUNDESLIGA!G226="",BUNDESLIGA!H226=""),"",IF(BUNDESLIGA!G226&lt;BUNDESLIGA!H226,"",IF(BUNDESLIGA!G226&gt;BUNDESLIGA!H226,"","")))</f>
        <v>1899 Hoffenheim</v>
      </c>
      <c r="G185" s="96" t="str">
        <f>IF(BUNDESLIGA!G226&lt;&gt;"",BUNDESLIGA!G226&amp;" - "&amp;BUNDESLIGA!H226,"")</f>
        <v>1 - 0</v>
      </c>
      <c r="H185" s="96" t="str">
        <f t="shared" si="35"/>
        <v>SC Freiburg-1899 Hoffenheim</v>
      </c>
      <c r="I185" s="96" t="str">
        <f t="shared" si="30"/>
        <v>1</v>
      </c>
      <c r="J185" s="97" t="str">
        <f t="shared" si="31"/>
        <v>0</v>
      </c>
      <c r="L185" s="67">
        <f t="shared" si="32"/>
        <v>3</v>
      </c>
      <c r="M185" s="67">
        <f t="shared" si="33"/>
        <v>0</v>
      </c>
      <c r="O185" s="67" t="str">
        <f t="shared" si="34"/>
        <v/>
      </c>
      <c r="P185" s="67"/>
      <c r="Q185" s="67"/>
      <c r="R185" s="67"/>
      <c r="S185" s="67"/>
      <c r="T185" s="67"/>
      <c r="U185" s="67"/>
      <c r="V185" s="67"/>
      <c r="W185" s="67"/>
      <c r="X185" s="67"/>
      <c r="Y185" s="67"/>
      <c r="Z185" s="67"/>
      <c r="AA185" s="67"/>
      <c r="AB185" s="67"/>
      <c r="AC185" s="67"/>
      <c r="AD185" s="67"/>
      <c r="AE185" s="67"/>
      <c r="AF185" s="67"/>
      <c r="AG185" s="67"/>
      <c r="AH185" s="67"/>
      <c r="AI185" s="67"/>
      <c r="AJ185" s="67"/>
      <c r="AK185" s="67"/>
      <c r="AL185" s="67"/>
      <c r="AM185" s="67"/>
      <c r="AN185" s="67"/>
      <c r="AO185" s="67"/>
    </row>
    <row r="186" spans="3:41" x14ac:dyDescent="0.25">
      <c r="C186" s="94" t="str">
        <f t="shared" si="29"/>
        <v/>
      </c>
      <c r="D186" s="95">
        <v>21</v>
      </c>
      <c r="E186" s="96" t="str">
        <f>BUNDESLIGA!F227&amp;IF(OR(BUNDESLIGA!G227="",BUNDESLIGA!H227=""),"",IF(BUNDESLIGA!G227&gt;BUNDESLIGA!H227,"",IF(BUNDESLIGA!G227&lt;BUNDESLIGA!H227,"","")))</f>
        <v>VfL Wolfsburg</v>
      </c>
      <c r="F186" s="96" t="str">
        <f>BUNDESLIGA!I227&amp;IF(OR(BUNDESLIGA!G227="",BUNDESLIGA!H227=""),"",IF(BUNDESLIGA!G227&lt;BUNDESLIGA!H227,"",IF(BUNDESLIGA!G227&gt;BUNDESLIGA!H227,"","")))</f>
        <v>Fortuna Düsseldorf</v>
      </c>
      <c r="G186" s="96" t="str">
        <f>IF(BUNDESLIGA!G227&lt;&gt;"",BUNDESLIGA!G227&amp;" - "&amp;BUNDESLIGA!H227,"")</f>
        <v>1 - 1</v>
      </c>
      <c r="H186" s="96" t="str">
        <f t="shared" si="35"/>
        <v>VfL Wolfsburg-Fortuna Düsseldorf</v>
      </c>
      <c r="I186" s="96" t="str">
        <f t="shared" si="30"/>
        <v>1</v>
      </c>
      <c r="J186" s="97" t="str">
        <f t="shared" si="31"/>
        <v>1</v>
      </c>
      <c r="L186" s="67">
        <f t="shared" si="32"/>
        <v>1</v>
      </c>
      <c r="M186" s="67">
        <f t="shared" si="33"/>
        <v>1</v>
      </c>
      <c r="O186" s="67" t="str">
        <f t="shared" si="34"/>
        <v/>
      </c>
      <c r="P186" s="67"/>
      <c r="Q186" s="67"/>
      <c r="R186" s="67"/>
      <c r="S186" s="67"/>
      <c r="T186" s="67"/>
      <c r="U186" s="67"/>
      <c r="V186" s="67"/>
      <c r="W186" s="67"/>
      <c r="X186" s="67"/>
      <c r="Y186" s="67"/>
      <c r="Z186" s="67"/>
      <c r="AA186" s="67"/>
      <c r="AB186" s="67"/>
      <c r="AC186" s="67"/>
      <c r="AD186" s="67"/>
      <c r="AE186" s="67"/>
      <c r="AF186" s="67"/>
      <c r="AG186" s="67"/>
      <c r="AH186" s="67"/>
      <c r="AI186" s="67"/>
      <c r="AJ186" s="67"/>
      <c r="AK186" s="67"/>
      <c r="AL186" s="67"/>
      <c r="AM186" s="67"/>
      <c r="AN186" s="67"/>
      <c r="AO186" s="67"/>
    </row>
    <row r="187" spans="3:41" x14ac:dyDescent="0.25">
      <c r="C187" s="94" t="str">
        <f t="shared" si="29"/>
        <v/>
      </c>
      <c r="D187" s="95">
        <v>21</v>
      </c>
      <c r="E187" s="96" t="str">
        <f>BUNDESLIGA!F228&amp;IF(OR(BUNDESLIGA!G228="",BUNDESLIGA!H228=""),"",IF(BUNDESLIGA!G228&gt;BUNDESLIGA!H228,"",IF(BUNDESLIGA!G228&lt;BUNDESLIGA!H228,"","")))</f>
        <v>Hertha BSC</v>
      </c>
      <c r="F187" s="96" t="str">
        <f>BUNDESLIGA!I228&amp;IF(OR(BUNDESLIGA!G228="",BUNDESLIGA!H228=""),"",IF(BUNDESLIGA!G228&lt;BUNDESLIGA!H228,"",IF(BUNDESLIGA!G228&gt;BUNDESLIGA!H228,"","")))</f>
        <v>1. FSV Mainz 05</v>
      </c>
      <c r="G187" s="96" t="str">
        <f>IF(BUNDESLIGA!G228&lt;&gt;"",BUNDESLIGA!G228&amp;" - "&amp;BUNDESLIGA!H228,"")</f>
        <v>1 - 3</v>
      </c>
      <c r="H187" s="96" t="str">
        <f t="shared" si="35"/>
        <v>Hertha BSC-1. FSV Mainz 05</v>
      </c>
      <c r="I187" s="96" t="str">
        <f t="shared" si="30"/>
        <v>1</v>
      </c>
      <c r="J187" s="97" t="str">
        <f t="shared" si="31"/>
        <v>3</v>
      </c>
      <c r="L187" s="67">
        <f t="shared" si="32"/>
        <v>0</v>
      </c>
      <c r="M187" s="67">
        <f t="shared" si="33"/>
        <v>3</v>
      </c>
      <c r="O187" s="67" t="str">
        <f t="shared" si="34"/>
        <v/>
      </c>
      <c r="P187" s="67"/>
      <c r="Q187" s="67"/>
      <c r="R187" s="67"/>
      <c r="S187" s="67"/>
      <c r="T187" s="67"/>
      <c r="U187" s="67"/>
      <c r="V187" s="67"/>
      <c r="W187" s="67"/>
      <c r="X187" s="67"/>
      <c r="Y187" s="67"/>
      <c r="Z187" s="67"/>
      <c r="AA187" s="67"/>
      <c r="AB187" s="67"/>
      <c r="AC187" s="67"/>
      <c r="AD187" s="67"/>
      <c r="AE187" s="67"/>
      <c r="AF187" s="67"/>
      <c r="AG187" s="67"/>
      <c r="AH187" s="67"/>
      <c r="AI187" s="67"/>
      <c r="AJ187" s="67"/>
      <c r="AK187" s="67"/>
      <c r="AL187" s="67"/>
      <c r="AM187" s="67"/>
      <c r="AN187" s="67"/>
      <c r="AO187" s="67"/>
    </row>
    <row r="188" spans="3:41" x14ac:dyDescent="0.25">
      <c r="C188" s="94">
        <f t="shared" si="29"/>
        <v>21</v>
      </c>
      <c r="D188" s="95">
        <v>21</v>
      </c>
      <c r="E188" s="96" t="str">
        <f>BUNDESLIGA!F229&amp;IF(OR(BUNDESLIGA!G229="",BUNDESLIGA!H229=""),"",IF(BUNDESLIGA!G229&gt;BUNDESLIGA!H229,"",IF(BUNDESLIGA!G229&lt;BUNDESLIGA!H229,"","")))</f>
        <v>Eintracht Frankfurt</v>
      </c>
      <c r="F188" s="96" t="str">
        <f>BUNDESLIGA!I229&amp;IF(OR(BUNDESLIGA!G229="",BUNDESLIGA!H229=""),"",IF(BUNDESLIGA!G229&lt;BUNDESLIGA!H229,"",IF(BUNDESLIGA!G229&gt;BUNDESLIGA!H229,"","")))</f>
        <v>FC Augsburg</v>
      </c>
      <c r="G188" s="96" t="str">
        <f>IF(BUNDESLIGA!G229&lt;&gt;"",BUNDESLIGA!G229&amp;" - "&amp;BUNDESLIGA!H229,"")</f>
        <v>5 - 0</v>
      </c>
      <c r="H188" s="96" t="str">
        <f t="shared" si="35"/>
        <v>Eintracht Frankfurt-FC Augsburg</v>
      </c>
      <c r="I188" s="96" t="str">
        <f t="shared" si="30"/>
        <v>5</v>
      </c>
      <c r="J188" s="97" t="str">
        <f t="shared" si="31"/>
        <v>0</v>
      </c>
      <c r="L188" s="67">
        <f t="shared" si="32"/>
        <v>3</v>
      </c>
      <c r="M188" s="67">
        <f t="shared" si="33"/>
        <v>0</v>
      </c>
      <c r="O188" s="67">
        <f t="shared" si="34"/>
        <v>188</v>
      </c>
      <c r="P188" s="67"/>
      <c r="Q188" s="67"/>
      <c r="R188" s="67"/>
      <c r="S188" s="67"/>
      <c r="T188" s="67"/>
      <c r="U188" s="67"/>
      <c r="V188" s="67"/>
      <c r="W188" s="67"/>
      <c r="X188" s="67"/>
      <c r="Y188" s="67"/>
      <c r="Z188" s="67"/>
      <c r="AA188" s="67"/>
      <c r="AB188" s="67"/>
      <c r="AC188" s="67"/>
      <c r="AD188" s="67"/>
      <c r="AE188" s="67"/>
      <c r="AF188" s="67"/>
      <c r="AG188" s="67"/>
      <c r="AH188" s="67"/>
      <c r="AI188" s="67"/>
      <c r="AJ188" s="67"/>
      <c r="AK188" s="67"/>
      <c r="AL188" s="67"/>
      <c r="AM188" s="67"/>
      <c r="AN188" s="67"/>
      <c r="AO188" s="67"/>
    </row>
    <row r="189" spans="3:41" x14ac:dyDescent="0.25">
      <c r="C189" s="94" t="str">
        <f t="shared" si="29"/>
        <v/>
      </c>
      <c r="D189" s="95">
        <v>21</v>
      </c>
      <c r="E189" s="96" t="str">
        <f>BUNDESLIGA!F230&amp;IF(OR(BUNDESLIGA!G230="",BUNDESLIGA!H230=""),"",IF(BUNDESLIGA!G230&gt;BUNDESLIGA!H230,"",IF(BUNDESLIGA!G230&lt;BUNDESLIGA!H230,"","")))</f>
        <v>Bor. Mönchengladbach</v>
      </c>
      <c r="F189" s="96" t="str">
        <f>BUNDESLIGA!I230&amp;IF(OR(BUNDESLIGA!G230="",BUNDESLIGA!H230=""),"",IF(BUNDESLIGA!G230&lt;BUNDESLIGA!H230,"",IF(BUNDESLIGA!G230&gt;BUNDESLIGA!H230,"","")))</f>
        <v>1. FC Köln</v>
      </c>
      <c r="G189" s="96" t="str">
        <f>IF(BUNDESLIGA!G230&lt;&gt;"",BUNDESLIGA!G230&amp;" - "&amp;BUNDESLIGA!H230,"")</f>
        <v/>
      </c>
      <c r="H189" s="96" t="str">
        <f t="shared" si="35"/>
        <v>Bor. Mönchengladbach-1. FC Köln</v>
      </c>
      <c r="I189" s="96" t="str">
        <f t="shared" si="30"/>
        <v/>
      </c>
      <c r="J189" s="97" t="str">
        <f t="shared" si="31"/>
        <v/>
      </c>
      <c r="L189" s="67" t="str">
        <f t="shared" si="32"/>
        <v/>
      </c>
      <c r="M189" s="67" t="str">
        <f t="shared" si="33"/>
        <v/>
      </c>
      <c r="O189" s="67" t="str">
        <f t="shared" si="34"/>
        <v/>
      </c>
      <c r="P189" s="67"/>
      <c r="Q189" s="67"/>
      <c r="R189" s="67"/>
      <c r="S189" s="67"/>
      <c r="T189" s="67"/>
      <c r="U189" s="67"/>
      <c r="V189" s="67"/>
      <c r="W189" s="67"/>
      <c r="X189" s="67"/>
      <c r="Y189" s="67"/>
      <c r="Z189" s="67"/>
      <c r="AA189" s="67"/>
      <c r="AB189" s="67"/>
      <c r="AC189" s="67"/>
      <c r="AD189" s="67"/>
      <c r="AE189" s="67"/>
      <c r="AF189" s="67"/>
      <c r="AG189" s="67"/>
      <c r="AH189" s="67"/>
      <c r="AI189" s="67"/>
      <c r="AJ189" s="67"/>
      <c r="AK189" s="67"/>
      <c r="AL189" s="67"/>
      <c r="AM189" s="67"/>
      <c r="AN189" s="67"/>
      <c r="AO189" s="67"/>
    </row>
    <row r="190" spans="3:41" x14ac:dyDescent="0.25">
      <c r="C190" s="94" t="str">
        <f t="shared" si="29"/>
        <v/>
      </c>
      <c r="D190" s="95">
        <v>21</v>
      </c>
      <c r="E190" s="96" t="str">
        <f>BUNDESLIGA!F231&amp;IF(OR(BUNDESLIGA!G231="",BUNDESLIGA!H231=""),"",IF(BUNDESLIGA!G231&gt;BUNDESLIGA!H231,"",IF(BUNDESLIGA!G231&lt;BUNDESLIGA!H231,"","")))</f>
        <v>FC Schalke 04</v>
      </c>
      <c r="F190" s="96" t="str">
        <f>BUNDESLIGA!I231&amp;IF(OR(BUNDESLIGA!G231="",BUNDESLIGA!H231=""),"",IF(BUNDESLIGA!G231&lt;BUNDESLIGA!H231,"",IF(BUNDESLIGA!G231&gt;BUNDESLIGA!H231,"","")))</f>
        <v>SC Paderborn 07</v>
      </c>
      <c r="G190" s="96" t="str">
        <f>IF(BUNDESLIGA!G231&lt;&gt;"",BUNDESLIGA!G231&amp;" - "&amp;BUNDESLIGA!H231,"")</f>
        <v>1 - 1</v>
      </c>
      <c r="H190" s="96" t="str">
        <f t="shared" si="35"/>
        <v>FC Schalke 04-SC Paderborn 07</v>
      </c>
      <c r="I190" s="96" t="str">
        <f t="shared" si="30"/>
        <v>1</v>
      </c>
      <c r="J190" s="97" t="str">
        <f t="shared" si="31"/>
        <v>1</v>
      </c>
      <c r="L190" s="67">
        <f t="shared" si="32"/>
        <v>1</v>
      </c>
      <c r="M190" s="67">
        <f t="shared" si="33"/>
        <v>1</v>
      </c>
      <c r="O190" s="67" t="str">
        <f t="shared" si="34"/>
        <v/>
      </c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Z190" s="67"/>
      <c r="AA190" s="67"/>
      <c r="AB190" s="67"/>
      <c r="AC190" s="67"/>
      <c r="AD190" s="67"/>
      <c r="AE190" s="67"/>
      <c r="AF190" s="67"/>
      <c r="AG190" s="67"/>
      <c r="AH190" s="67"/>
      <c r="AI190" s="67"/>
      <c r="AJ190" s="67"/>
      <c r="AK190" s="67"/>
      <c r="AL190" s="67"/>
      <c r="AM190" s="67"/>
      <c r="AN190" s="67"/>
      <c r="AO190" s="67"/>
    </row>
    <row r="191" spans="3:41" x14ac:dyDescent="0.25">
      <c r="C191" s="94" t="str">
        <f t="shared" si="29"/>
        <v/>
      </c>
      <c r="D191" s="95">
        <v>21</v>
      </c>
      <c r="E191" s="96" t="str">
        <f>BUNDESLIGA!F232&amp;IF(OR(BUNDESLIGA!G232="",BUNDESLIGA!H232=""),"",IF(BUNDESLIGA!G232&gt;BUNDESLIGA!H232,"",IF(BUNDESLIGA!G232&lt;BUNDESLIGA!H232,"","")))</f>
        <v>Werder Bremen</v>
      </c>
      <c r="F191" s="96" t="str">
        <f>BUNDESLIGA!I232&amp;IF(OR(BUNDESLIGA!G232="",BUNDESLIGA!H232=""),"",IF(BUNDESLIGA!G232&lt;BUNDESLIGA!H232,"",IF(BUNDESLIGA!G232&gt;BUNDESLIGA!H232,"","")))</f>
        <v>1. FC Union Berlin</v>
      </c>
      <c r="G191" s="96" t="str">
        <f>IF(BUNDESLIGA!G232&lt;&gt;"",BUNDESLIGA!G232&amp;" - "&amp;BUNDESLIGA!H232,"")</f>
        <v>0 - 2</v>
      </c>
      <c r="H191" s="96" t="str">
        <f t="shared" si="35"/>
        <v>Werder Bremen-1. FC Union Berlin</v>
      </c>
      <c r="I191" s="96" t="str">
        <f t="shared" si="30"/>
        <v>0</v>
      </c>
      <c r="J191" s="97" t="str">
        <f t="shared" si="31"/>
        <v>2</v>
      </c>
      <c r="L191" s="67">
        <f t="shared" si="32"/>
        <v>0</v>
      </c>
      <c r="M191" s="67">
        <f t="shared" si="33"/>
        <v>3</v>
      </c>
      <c r="O191" s="67" t="str">
        <f t="shared" si="34"/>
        <v/>
      </c>
      <c r="P191" s="67"/>
      <c r="Q191" s="67"/>
      <c r="R191" s="67"/>
      <c r="S191" s="67"/>
      <c r="T191" s="67"/>
      <c r="U191" s="67"/>
      <c r="V191" s="67"/>
      <c r="W191" s="67"/>
      <c r="X191" s="67"/>
      <c r="Y191" s="67"/>
      <c r="Z191" s="67"/>
      <c r="AA191" s="67"/>
      <c r="AB191" s="67"/>
      <c r="AC191" s="67"/>
      <c r="AD191" s="67"/>
      <c r="AE191" s="67"/>
      <c r="AF191" s="67"/>
      <c r="AG191" s="67"/>
      <c r="AH191" s="67"/>
      <c r="AI191" s="67"/>
      <c r="AJ191" s="67"/>
      <c r="AK191" s="67"/>
      <c r="AL191" s="67"/>
      <c r="AM191" s="67"/>
      <c r="AN191" s="67"/>
      <c r="AO191" s="67"/>
    </row>
    <row r="192" spans="3:41" x14ac:dyDescent="0.25">
      <c r="C192" s="94" t="str">
        <f t="shared" si="29"/>
        <v/>
      </c>
      <c r="D192" s="95">
        <v>22</v>
      </c>
      <c r="E192" s="96" t="str">
        <f>BUNDESLIGA!F235&amp;IF(OR(BUNDESLIGA!G235="",BUNDESLIGA!H235=""),"",IF(BUNDESLIGA!G235&gt;BUNDESLIGA!H235,"",IF(BUNDESLIGA!G235&lt;BUNDESLIGA!H235,"","")))</f>
        <v>1. FC Köln</v>
      </c>
      <c r="F192" s="96" t="str">
        <f>BUNDESLIGA!I235&amp;IF(OR(BUNDESLIGA!G235="",BUNDESLIGA!H235=""),"",IF(BUNDESLIGA!G235&lt;BUNDESLIGA!H235,"",IF(BUNDESLIGA!G235&gt;BUNDESLIGA!H235,"","")))</f>
        <v>Bayern München</v>
      </c>
      <c r="G192" s="96" t="str">
        <f>IF(BUNDESLIGA!G235&lt;&gt;"",BUNDESLIGA!G235&amp;" - "&amp;BUNDESLIGA!H235,"")</f>
        <v>1 - 4</v>
      </c>
      <c r="H192" s="96" t="str">
        <f t="shared" si="35"/>
        <v>1. FC Köln-Bayern München</v>
      </c>
      <c r="I192" s="96" t="str">
        <f t="shared" si="30"/>
        <v>1</v>
      </c>
      <c r="J192" s="97" t="str">
        <f t="shared" si="31"/>
        <v>4</v>
      </c>
      <c r="L192" s="67">
        <f t="shared" si="32"/>
        <v>0</v>
      </c>
      <c r="M192" s="67">
        <f t="shared" si="33"/>
        <v>3</v>
      </c>
      <c r="O192" s="67" t="str">
        <f t="shared" si="34"/>
        <v/>
      </c>
      <c r="P192" s="67"/>
      <c r="Q192" s="67"/>
      <c r="R192" s="67"/>
      <c r="S192" s="67"/>
      <c r="T192" s="67"/>
      <c r="U192" s="67"/>
      <c r="V192" s="67"/>
      <c r="W192" s="67"/>
      <c r="X192" s="67"/>
      <c r="Y192" s="67"/>
      <c r="Z192" s="67"/>
      <c r="AA192" s="67"/>
      <c r="AB192" s="67"/>
      <c r="AC192" s="67"/>
      <c r="AD192" s="67"/>
      <c r="AE192" s="67"/>
      <c r="AF192" s="67"/>
      <c r="AG192" s="67"/>
      <c r="AH192" s="67"/>
      <c r="AI192" s="67"/>
      <c r="AJ192" s="67"/>
      <c r="AK192" s="67"/>
      <c r="AL192" s="67"/>
      <c r="AM192" s="67"/>
      <c r="AN192" s="67"/>
      <c r="AO192" s="67"/>
    </row>
    <row r="193" spans="3:41" x14ac:dyDescent="0.25">
      <c r="C193" s="94" t="str">
        <f t="shared" si="29"/>
        <v/>
      </c>
      <c r="D193" s="95">
        <v>22</v>
      </c>
      <c r="E193" s="96" t="str">
        <f>BUNDESLIGA!F236&amp;IF(OR(BUNDESLIGA!G236="",BUNDESLIGA!H236=""),"",IF(BUNDESLIGA!G236&gt;BUNDESLIGA!H236,"",IF(BUNDESLIGA!G236&lt;BUNDESLIGA!H236,"","")))</f>
        <v>1. FC Union Berlin</v>
      </c>
      <c r="F193" s="96" t="str">
        <f>BUNDESLIGA!I236&amp;IF(OR(BUNDESLIGA!G236="",BUNDESLIGA!H236=""),"",IF(BUNDESLIGA!G236&lt;BUNDESLIGA!H236,"",IF(BUNDESLIGA!G236&gt;BUNDESLIGA!H236,"","")))</f>
        <v>Bayer Leverkusen</v>
      </c>
      <c r="G193" s="96" t="str">
        <f>IF(BUNDESLIGA!G236&lt;&gt;"",BUNDESLIGA!G236&amp;" - "&amp;BUNDESLIGA!H236,"")</f>
        <v>2 - 3</v>
      </c>
      <c r="H193" s="96" t="str">
        <f t="shared" si="35"/>
        <v>1. FC Union Berlin-Bayer Leverkusen</v>
      </c>
      <c r="I193" s="96" t="str">
        <f t="shared" si="30"/>
        <v>2</v>
      </c>
      <c r="J193" s="97" t="str">
        <f t="shared" si="31"/>
        <v>3</v>
      </c>
      <c r="L193" s="67">
        <f t="shared" si="32"/>
        <v>0</v>
      </c>
      <c r="M193" s="67">
        <f t="shared" si="33"/>
        <v>3</v>
      </c>
      <c r="O193" s="67" t="str">
        <f t="shared" si="34"/>
        <v/>
      </c>
      <c r="P193" s="67"/>
      <c r="Q193" s="67"/>
      <c r="R193" s="67"/>
      <c r="S193" s="67"/>
      <c r="T193" s="67"/>
      <c r="U193" s="67"/>
      <c r="V193" s="67"/>
      <c r="W193" s="67"/>
      <c r="X193" s="67"/>
      <c r="Y193" s="67"/>
      <c r="Z193" s="67"/>
      <c r="AA193" s="67"/>
      <c r="AB193" s="67"/>
      <c r="AC193" s="67"/>
      <c r="AD193" s="67"/>
      <c r="AE193" s="67"/>
      <c r="AF193" s="67"/>
      <c r="AG193" s="67"/>
      <c r="AH193" s="67"/>
      <c r="AI193" s="67"/>
      <c r="AJ193" s="67"/>
      <c r="AK193" s="67"/>
      <c r="AL193" s="67"/>
      <c r="AM193" s="67"/>
      <c r="AN193" s="67"/>
      <c r="AO193" s="67"/>
    </row>
    <row r="194" spans="3:41" x14ac:dyDescent="0.25">
      <c r="C194" s="94" t="str">
        <f t="shared" si="29"/>
        <v/>
      </c>
      <c r="D194" s="95">
        <v>22</v>
      </c>
      <c r="E194" s="96" t="str">
        <f>BUNDESLIGA!F237&amp;IF(OR(BUNDESLIGA!G237="",BUNDESLIGA!H237=""),"",IF(BUNDESLIGA!G237&gt;BUNDESLIGA!H237,"",IF(BUNDESLIGA!G237&lt;BUNDESLIGA!H237,"","")))</f>
        <v>Fortuna Düsseldorf</v>
      </c>
      <c r="F194" s="96" t="str">
        <f>BUNDESLIGA!I237&amp;IF(OR(BUNDESLIGA!G237="",BUNDESLIGA!H237=""),"",IF(BUNDESLIGA!G237&lt;BUNDESLIGA!H237,"",IF(BUNDESLIGA!G237&gt;BUNDESLIGA!H237,"","")))</f>
        <v>Bor. Mönchengladbach</v>
      </c>
      <c r="G194" s="96" t="str">
        <f>IF(BUNDESLIGA!G237&lt;&gt;"",BUNDESLIGA!G237&amp;" - "&amp;BUNDESLIGA!H237,"")</f>
        <v>1 - 4</v>
      </c>
      <c r="H194" s="96" t="str">
        <f t="shared" si="35"/>
        <v>Fortuna Düsseldorf-Bor. Mönchengladbach</v>
      </c>
      <c r="I194" s="96" t="str">
        <f t="shared" si="30"/>
        <v>1</v>
      </c>
      <c r="J194" s="97" t="str">
        <f t="shared" si="31"/>
        <v>4</v>
      </c>
      <c r="L194" s="67">
        <f t="shared" si="32"/>
        <v>0</v>
      </c>
      <c r="M194" s="67">
        <f t="shared" si="33"/>
        <v>3</v>
      </c>
      <c r="O194" s="67" t="str">
        <f t="shared" si="34"/>
        <v/>
      </c>
      <c r="P194" s="67"/>
      <c r="Q194" s="67"/>
      <c r="R194" s="67"/>
      <c r="S194" s="67"/>
      <c r="T194" s="67"/>
      <c r="U194" s="67"/>
      <c r="V194" s="67"/>
      <c r="W194" s="67"/>
      <c r="X194" s="67"/>
      <c r="Y194" s="67"/>
      <c r="Z194" s="67"/>
      <c r="AA194" s="67"/>
      <c r="AB194" s="67"/>
      <c r="AC194" s="67"/>
      <c r="AD194" s="67"/>
      <c r="AE194" s="67"/>
      <c r="AF194" s="67"/>
      <c r="AG194" s="67"/>
      <c r="AH194" s="67"/>
      <c r="AI194" s="67"/>
      <c r="AJ194" s="67"/>
      <c r="AK194" s="67"/>
      <c r="AL194" s="67"/>
      <c r="AM194" s="67"/>
      <c r="AN194" s="67"/>
      <c r="AO194" s="67"/>
    </row>
    <row r="195" spans="3:41" x14ac:dyDescent="0.25">
      <c r="C195" s="94" t="str">
        <f t="shared" ref="C195:C258" si="36">IF(E195=$Q$2,D195,IF(F195=$Q$2,D195,""))</f>
        <v/>
      </c>
      <c r="D195" s="95">
        <v>22</v>
      </c>
      <c r="E195" s="96" t="str">
        <f>BUNDESLIGA!F238&amp;IF(OR(BUNDESLIGA!G238="",BUNDESLIGA!H238=""),"",IF(BUNDESLIGA!G238&gt;BUNDESLIGA!H238,"",IF(BUNDESLIGA!G238&lt;BUNDESLIGA!H238,"","")))</f>
        <v>1899 Hoffenheim</v>
      </c>
      <c r="F195" s="96" t="str">
        <f>BUNDESLIGA!I238&amp;IF(OR(BUNDESLIGA!G238="",BUNDESLIGA!H238=""),"",IF(BUNDESLIGA!G238&lt;BUNDESLIGA!H238,"",IF(BUNDESLIGA!G238&gt;BUNDESLIGA!H238,"","")))</f>
        <v>VfL Wolfsburg</v>
      </c>
      <c r="G195" s="96" t="str">
        <f>IF(BUNDESLIGA!G238&lt;&gt;"",BUNDESLIGA!G238&amp;" - "&amp;BUNDESLIGA!H238,"")</f>
        <v>2 - 3</v>
      </c>
      <c r="H195" s="96" t="str">
        <f t="shared" si="35"/>
        <v>1899 Hoffenheim-VfL Wolfsburg</v>
      </c>
      <c r="I195" s="96" t="str">
        <f t="shared" ref="I195:I258" si="37">LEFT(G195,1)</f>
        <v>2</v>
      </c>
      <c r="J195" s="97" t="str">
        <f t="shared" ref="J195:J258" si="38">RIGHT(G195,1)</f>
        <v>3</v>
      </c>
      <c r="L195" s="67">
        <f t="shared" ref="L195:L258" si="39">IF(I195="","",IF(I195&gt;J195,3,IF(I195=J195,1,0)))</f>
        <v>0</v>
      </c>
      <c r="M195" s="67">
        <f t="shared" ref="M195:M258" si="40">IF(J195="","",IF(J195&gt;I195,3,IF(J195=I195,1,0)))</f>
        <v>3</v>
      </c>
      <c r="O195" s="67" t="str">
        <f t="shared" ref="O195:O258" si="41">IF(AND($I195&lt;&gt;"",ISNUMBER(SEARCH("-"&amp;$Q$2,$H195))+ISNUMBER(SEARCH($Q$2&amp;"-",$H195))),ROW(),"")</f>
        <v/>
      </c>
      <c r="P195" s="67"/>
      <c r="Q195" s="67"/>
      <c r="R195" s="67"/>
      <c r="S195" s="67"/>
      <c r="T195" s="67"/>
      <c r="U195" s="67"/>
      <c r="V195" s="67"/>
      <c r="W195" s="67"/>
      <c r="X195" s="67"/>
      <c r="Y195" s="67"/>
      <c r="Z195" s="67"/>
      <c r="AA195" s="67"/>
      <c r="AB195" s="67"/>
      <c r="AC195" s="67"/>
      <c r="AD195" s="67"/>
      <c r="AE195" s="67"/>
      <c r="AF195" s="67"/>
      <c r="AG195" s="67"/>
      <c r="AH195" s="67"/>
      <c r="AI195" s="67"/>
      <c r="AJ195" s="67"/>
      <c r="AK195" s="67"/>
      <c r="AL195" s="67"/>
      <c r="AM195" s="67"/>
      <c r="AN195" s="67"/>
      <c r="AO195" s="67"/>
    </row>
    <row r="196" spans="3:41" x14ac:dyDescent="0.25">
      <c r="C196" s="94" t="str">
        <f t="shared" si="36"/>
        <v/>
      </c>
      <c r="D196" s="95">
        <v>22</v>
      </c>
      <c r="E196" s="96" t="str">
        <f>BUNDESLIGA!F239&amp;IF(OR(BUNDESLIGA!G239="",BUNDESLIGA!H239=""),"",IF(BUNDESLIGA!G239&gt;BUNDESLIGA!H239,"",IF(BUNDESLIGA!G239&lt;BUNDESLIGA!H239,"","")))</f>
        <v>Borussia Dortmund</v>
      </c>
      <c r="F196" s="96" t="str">
        <f>BUNDESLIGA!I239&amp;IF(OR(BUNDESLIGA!G239="",BUNDESLIGA!H239=""),"",IF(BUNDESLIGA!G239&lt;BUNDESLIGA!H239,"",IF(BUNDESLIGA!G239&gt;BUNDESLIGA!H239,"","")))</f>
        <v>Eintracht Frankfurt</v>
      </c>
      <c r="G196" s="96" t="str">
        <f>IF(BUNDESLIGA!G239&lt;&gt;"",BUNDESLIGA!G239&amp;" - "&amp;BUNDESLIGA!H239,"")</f>
        <v>4 - 0</v>
      </c>
      <c r="H196" s="96" t="str">
        <f t="shared" si="35"/>
        <v>Borussia Dortmund-Eintracht Frankfurt</v>
      </c>
      <c r="I196" s="96" t="str">
        <f t="shared" si="37"/>
        <v>4</v>
      </c>
      <c r="J196" s="97" t="str">
        <f t="shared" si="38"/>
        <v>0</v>
      </c>
      <c r="L196" s="67">
        <f t="shared" si="39"/>
        <v>3</v>
      </c>
      <c r="M196" s="67">
        <f t="shared" si="40"/>
        <v>0</v>
      </c>
      <c r="O196" s="67" t="str">
        <f t="shared" si="41"/>
        <v/>
      </c>
      <c r="P196" s="67"/>
      <c r="Q196" s="67"/>
      <c r="R196" s="67"/>
      <c r="S196" s="67"/>
      <c r="T196" s="67"/>
      <c r="U196" s="67"/>
      <c r="V196" s="67"/>
      <c r="W196" s="67"/>
      <c r="X196" s="67"/>
      <c r="Y196" s="67"/>
      <c r="Z196" s="67"/>
      <c r="AA196" s="67"/>
      <c r="AB196" s="67"/>
      <c r="AC196" s="67"/>
      <c r="AD196" s="67"/>
      <c r="AE196" s="67"/>
      <c r="AF196" s="67"/>
      <c r="AG196" s="67"/>
      <c r="AH196" s="67"/>
      <c r="AI196" s="67"/>
      <c r="AJ196" s="67"/>
      <c r="AK196" s="67"/>
      <c r="AL196" s="67"/>
      <c r="AM196" s="67"/>
      <c r="AN196" s="67"/>
      <c r="AO196" s="67"/>
    </row>
    <row r="197" spans="3:41" x14ac:dyDescent="0.25">
      <c r="C197" s="94" t="str">
        <f t="shared" si="36"/>
        <v/>
      </c>
      <c r="D197" s="95">
        <v>22</v>
      </c>
      <c r="E197" s="96" t="str">
        <f>BUNDESLIGA!F240&amp;IF(OR(BUNDESLIGA!G240="",BUNDESLIGA!H240=""),"",IF(BUNDESLIGA!G240&gt;BUNDESLIGA!H240,"",IF(BUNDESLIGA!G240&lt;BUNDESLIGA!H240,"","")))</f>
        <v>RB Leipzig</v>
      </c>
      <c r="F197" s="96" t="str">
        <f>BUNDESLIGA!I240&amp;IF(OR(BUNDESLIGA!G240="",BUNDESLIGA!H240=""),"",IF(BUNDESLIGA!G240&lt;BUNDESLIGA!H240,"",IF(BUNDESLIGA!G240&gt;BUNDESLIGA!H240,"","")))</f>
        <v>Werder Bremen</v>
      </c>
      <c r="G197" s="96" t="str">
        <f>IF(BUNDESLIGA!G240&lt;&gt;"",BUNDESLIGA!G240&amp;" - "&amp;BUNDESLIGA!H240,"")</f>
        <v>3 - 0</v>
      </c>
      <c r="H197" s="96" t="str">
        <f t="shared" ref="H197:H260" si="42">(E197&amp;"-"&amp;F197)</f>
        <v>RB Leipzig-Werder Bremen</v>
      </c>
      <c r="I197" s="96" t="str">
        <f t="shared" si="37"/>
        <v>3</v>
      </c>
      <c r="J197" s="97" t="str">
        <f t="shared" si="38"/>
        <v>0</v>
      </c>
      <c r="L197" s="67">
        <f t="shared" si="39"/>
        <v>3</v>
      </c>
      <c r="M197" s="67">
        <f t="shared" si="40"/>
        <v>0</v>
      </c>
      <c r="O197" s="67" t="str">
        <f t="shared" si="41"/>
        <v/>
      </c>
      <c r="P197" s="67"/>
      <c r="Q197" s="67"/>
      <c r="R197" s="67"/>
      <c r="S197" s="67"/>
      <c r="T197" s="67"/>
      <c r="U197" s="67"/>
      <c r="V197" s="67"/>
      <c r="W197" s="67"/>
      <c r="X197" s="67"/>
      <c r="Y197" s="67"/>
      <c r="Z197" s="67"/>
      <c r="AA197" s="67"/>
      <c r="AB197" s="67"/>
      <c r="AC197" s="67"/>
      <c r="AD197" s="67"/>
      <c r="AE197" s="67"/>
      <c r="AF197" s="67"/>
      <c r="AG197" s="67"/>
      <c r="AH197" s="67"/>
      <c r="AI197" s="67"/>
      <c r="AJ197" s="67"/>
      <c r="AK197" s="67"/>
      <c r="AL197" s="67"/>
      <c r="AM197" s="67"/>
      <c r="AN197" s="67"/>
      <c r="AO197" s="67"/>
    </row>
    <row r="198" spans="3:41" x14ac:dyDescent="0.25">
      <c r="C198" s="94" t="str">
        <f t="shared" si="36"/>
        <v/>
      </c>
      <c r="D198" s="95">
        <v>22</v>
      </c>
      <c r="E198" s="96" t="str">
        <f>BUNDESLIGA!F241&amp;IF(OR(BUNDESLIGA!G241="",BUNDESLIGA!H241=""),"",IF(BUNDESLIGA!G241&gt;BUNDESLIGA!H241,"",IF(BUNDESLIGA!G241&lt;BUNDESLIGA!H241,"","")))</f>
        <v>SC Paderborn 07</v>
      </c>
      <c r="F198" s="96" t="str">
        <f>BUNDESLIGA!I241&amp;IF(OR(BUNDESLIGA!G241="",BUNDESLIGA!H241=""),"",IF(BUNDESLIGA!G241&lt;BUNDESLIGA!H241,"",IF(BUNDESLIGA!G241&gt;BUNDESLIGA!H241,"","")))</f>
        <v>Hertha BSC</v>
      </c>
      <c r="G198" s="96" t="str">
        <f>IF(BUNDESLIGA!G241&lt;&gt;"",BUNDESLIGA!G241&amp;" - "&amp;BUNDESLIGA!H241,"")</f>
        <v>1 - 2</v>
      </c>
      <c r="H198" s="96" t="str">
        <f t="shared" si="42"/>
        <v>SC Paderborn 07-Hertha BSC</v>
      </c>
      <c r="I198" s="96" t="str">
        <f t="shared" si="37"/>
        <v>1</v>
      </c>
      <c r="J198" s="97" t="str">
        <f t="shared" si="38"/>
        <v>2</v>
      </c>
      <c r="L198" s="67">
        <f t="shared" si="39"/>
        <v>0</v>
      </c>
      <c r="M198" s="67">
        <f t="shared" si="40"/>
        <v>3</v>
      </c>
      <c r="O198" s="67" t="str">
        <f t="shared" si="41"/>
        <v/>
      </c>
      <c r="P198" s="67"/>
      <c r="Q198" s="67"/>
      <c r="R198" s="67"/>
      <c r="S198" s="67"/>
      <c r="T198" s="67"/>
      <c r="U198" s="67"/>
      <c r="V198" s="67"/>
      <c r="W198" s="67"/>
      <c r="X198" s="67"/>
      <c r="Y198" s="67"/>
      <c r="Z198" s="67"/>
      <c r="AA198" s="67"/>
      <c r="AB198" s="67"/>
      <c r="AC198" s="67"/>
      <c r="AD198" s="67"/>
      <c r="AE198" s="67"/>
      <c r="AF198" s="67"/>
      <c r="AG198" s="67"/>
      <c r="AH198" s="67"/>
      <c r="AI198" s="67"/>
      <c r="AJ198" s="67"/>
      <c r="AK198" s="67"/>
      <c r="AL198" s="67"/>
      <c r="AM198" s="67"/>
      <c r="AN198" s="67"/>
      <c r="AO198" s="67"/>
    </row>
    <row r="199" spans="3:41" x14ac:dyDescent="0.25">
      <c r="C199" s="94">
        <f t="shared" si="36"/>
        <v>22</v>
      </c>
      <c r="D199" s="95">
        <v>22</v>
      </c>
      <c r="E199" s="96" t="str">
        <f>BUNDESLIGA!F242&amp;IF(OR(BUNDESLIGA!G242="",BUNDESLIGA!H242=""),"",IF(BUNDESLIGA!G242&gt;BUNDESLIGA!H242,"",IF(BUNDESLIGA!G242&lt;BUNDESLIGA!H242,"","")))</f>
        <v>FC Augsburg</v>
      </c>
      <c r="F199" s="96" t="str">
        <f>BUNDESLIGA!I242&amp;IF(OR(BUNDESLIGA!G242="",BUNDESLIGA!H242=""),"",IF(BUNDESLIGA!G242&lt;BUNDESLIGA!H242,"",IF(BUNDESLIGA!G242&gt;BUNDESLIGA!H242,"","")))</f>
        <v>SC Freiburg</v>
      </c>
      <c r="G199" s="96" t="str">
        <f>IF(BUNDESLIGA!G242&lt;&gt;"",BUNDESLIGA!G242&amp;" - "&amp;BUNDESLIGA!H242,"")</f>
        <v>1 - 1</v>
      </c>
      <c r="H199" s="96" t="str">
        <f t="shared" si="42"/>
        <v>FC Augsburg-SC Freiburg</v>
      </c>
      <c r="I199" s="96" t="str">
        <f t="shared" si="37"/>
        <v>1</v>
      </c>
      <c r="J199" s="97" t="str">
        <f t="shared" si="38"/>
        <v>1</v>
      </c>
      <c r="L199" s="67">
        <f t="shared" si="39"/>
        <v>1</v>
      </c>
      <c r="M199" s="67">
        <f t="shared" si="40"/>
        <v>1</v>
      </c>
      <c r="O199" s="67">
        <f t="shared" si="41"/>
        <v>199</v>
      </c>
      <c r="P199" s="67"/>
      <c r="Q199" s="67"/>
      <c r="R199" s="67"/>
      <c r="S199" s="67"/>
      <c r="T199" s="67"/>
      <c r="U199" s="67"/>
      <c r="V199" s="67"/>
      <c r="W199" s="67"/>
      <c r="X199" s="67"/>
      <c r="Y199" s="67"/>
      <c r="Z199" s="67"/>
      <c r="AA199" s="67"/>
      <c r="AB199" s="67"/>
      <c r="AC199" s="67"/>
      <c r="AD199" s="67"/>
      <c r="AE199" s="67"/>
      <c r="AF199" s="67"/>
      <c r="AG199" s="67"/>
      <c r="AH199" s="67"/>
      <c r="AI199" s="67"/>
      <c r="AJ199" s="67"/>
      <c r="AK199" s="67"/>
      <c r="AL199" s="67"/>
      <c r="AM199" s="67"/>
      <c r="AN199" s="67"/>
      <c r="AO199" s="67"/>
    </row>
    <row r="200" spans="3:41" x14ac:dyDescent="0.25">
      <c r="C200" s="94" t="str">
        <f t="shared" si="36"/>
        <v/>
      </c>
      <c r="D200" s="95">
        <v>22</v>
      </c>
      <c r="E200" s="96" t="str">
        <f>BUNDESLIGA!F243&amp;IF(OR(BUNDESLIGA!G243="",BUNDESLIGA!H243=""),"",IF(BUNDESLIGA!G243&gt;BUNDESLIGA!H243,"",IF(BUNDESLIGA!G243&lt;BUNDESLIGA!H243,"","")))</f>
        <v>1. FSV Mainz 05</v>
      </c>
      <c r="F200" s="96" t="str">
        <f>BUNDESLIGA!I243&amp;IF(OR(BUNDESLIGA!G243="",BUNDESLIGA!H243=""),"",IF(BUNDESLIGA!G243&lt;BUNDESLIGA!H243,"",IF(BUNDESLIGA!G243&gt;BUNDESLIGA!H243,"","")))</f>
        <v>FC Schalke 04</v>
      </c>
      <c r="G200" s="96" t="str">
        <f>IF(BUNDESLIGA!G243&lt;&gt;"",BUNDESLIGA!G243&amp;" - "&amp;BUNDESLIGA!H243,"")</f>
        <v>0 - 0</v>
      </c>
      <c r="H200" s="96" t="str">
        <f t="shared" si="42"/>
        <v>1. FSV Mainz 05-FC Schalke 04</v>
      </c>
      <c r="I200" s="96" t="str">
        <f t="shared" si="37"/>
        <v>0</v>
      </c>
      <c r="J200" s="97" t="str">
        <f t="shared" si="38"/>
        <v>0</v>
      </c>
      <c r="L200" s="67">
        <f t="shared" si="39"/>
        <v>1</v>
      </c>
      <c r="M200" s="67">
        <f t="shared" si="40"/>
        <v>1</v>
      </c>
      <c r="O200" s="67" t="str">
        <f t="shared" si="41"/>
        <v/>
      </c>
      <c r="P200" s="67"/>
      <c r="Q200" s="67"/>
      <c r="R200" s="67"/>
      <c r="S200" s="67"/>
      <c r="T200" s="67"/>
      <c r="U200" s="67"/>
      <c r="V200" s="67"/>
      <c r="W200" s="67"/>
      <c r="X200" s="67"/>
      <c r="Y200" s="67"/>
      <c r="Z200" s="67"/>
      <c r="AA200" s="67"/>
      <c r="AB200" s="67"/>
      <c r="AC200" s="67"/>
      <c r="AD200" s="67"/>
      <c r="AE200" s="67"/>
      <c r="AF200" s="67"/>
      <c r="AG200" s="67"/>
      <c r="AH200" s="67"/>
      <c r="AI200" s="67"/>
      <c r="AJ200" s="67"/>
      <c r="AK200" s="67"/>
      <c r="AL200" s="67"/>
      <c r="AM200" s="67"/>
      <c r="AN200" s="67"/>
      <c r="AO200" s="67"/>
    </row>
    <row r="201" spans="3:41" x14ac:dyDescent="0.25">
      <c r="C201" s="94" t="str">
        <f t="shared" si="36"/>
        <v/>
      </c>
      <c r="D201" s="95">
        <v>23</v>
      </c>
      <c r="E201" s="96" t="str">
        <f>BUNDESLIGA!F246&amp;IF(OR(BUNDESLIGA!G246="",BUNDESLIGA!H246=""),"",IF(BUNDESLIGA!G246&gt;BUNDESLIGA!H246,"",IF(BUNDESLIGA!G246&lt;BUNDESLIGA!H246,"","")))</f>
        <v>Werder Bremen</v>
      </c>
      <c r="F201" s="96" t="str">
        <f>BUNDESLIGA!I246&amp;IF(OR(BUNDESLIGA!G246="",BUNDESLIGA!H246=""),"",IF(BUNDESLIGA!G246&lt;BUNDESLIGA!H246,"",IF(BUNDESLIGA!G246&gt;BUNDESLIGA!H246,"","")))</f>
        <v>Borussia Dortmund</v>
      </c>
      <c r="G201" s="96" t="str">
        <f>IF(BUNDESLIGA!G246&lt;&gt;"",BUNDESLIGA!G246&amp;" - "&amp;BUNDESLIGA!H246,"")</f>
        <v>0 - 2</v>
      </c>
      <c r="H201" s="96" t="str">
        <f t="shared" si="42"/>
        <v>Werder Bremen-Borussia Dortmund</v>
      </c>
      <c r="I201" s="96" t="str">
        <f t="shared" si="37"/>
        <v>0</v>
      </c>
      <c r="J201" s="97" t="str">
        <f t="shared" si="38"/>
        <v>2</v>
      </c>
      <c r="L201" s="67">
        <f t="shared" si="39"/>
        <v>0</v>
      </c>
      <c r="M201" s="67">
        <f t="shared" si="40"/>
        <v>3</v>
      </c>
      <c r="O201" s="67" t="str">
        <f t="shared" si="41"/>
        <v/>
      </c>
      <c r="P201" s="67"/>
      <c r="Q201" s="67"/>
      <c r="R201" s="67"/>
      <c r="S201" s="67"/>
      <c r="T201" s="67"/>
      <c r="U201" s="67"/>
      <c r="V201" s="67"/>
      <c r="W201" s="67"/>
      <c r="X201" s="67"/>
      <c r="Y201" s="67"/>
      <c r="Z201" s="67"/>
      <c r="AA201" s="67"/>
      <c r="AB201" s="67"/>
      <c r="AC201" s="67"/>
      <c r="AD201" s="67"/>
      <c r="AE201" s="67"/>
      <c r="AF201" s="67"/>
      <c r="AG201" s="67"/>
      <c r="AH201" s="67"/>
      <c r="AI201" s="67"/>
      <c r="AJ201" s="67"/>
      <c r="AK201" s="67"/>
      <c r="AL201" s="67"/>
      <c r="AM201" s="67"/>
      <c r="AN201" s="67"/>
      <c r="AO201" s="67"/>
    </row>
    <row r="202" spans="3:41" x14ac:dyDescent="0.25">
      <c r="C202" s="94" t="str">
        <f t="shared" si="36"/>
        <v/>
      </c>
      <c r="D202" s="95">
        <v>23</v>
      </c>
      <c r="E202" s="96" t="str">
        <f>BUNDESLIGA!F247&amp;IF(OR(BUNDESLIGA!G247="",BUNDESLIGA!H247=""),"",IF(BUNDESLIGA!G247&gt;BUNDESLIGA!H247,"",IF(BUNDESLIGA!G247&lt;BUNDESLIGA!H247,"","")))</f>
        <v>FC Schalke 04</v>
      </c>
      <c r="F202" s="96" t="str">
        <f>BUNDESLIGA!I247&amp;IF(OR(BUNDESLIGA!G247="",BUNDESLIGA!H247=""),"",IF(BUNDESLIGA!G247&lt;BUNDESLIGA!H247,"",IF(BUNDESLIGA!G247&gt;BUNDESLIGA!H247,"","")))</f>
        <v>RB Leipzig</v>
      </c>
      <c r="G202" s="96" t="str">
        <f>IF(BUNDESLIGA!G247&lt;&gt;"",BUNDESLIGA!G247&amp;" - "&amp;BUNDESLIGA!H247,"")</f>
        <v>0 - 5</v>
      </c>
      <c r="H202" s="96" t="str">
        <f t="shared" si="42"/>
        <v>FC Schalke 04-RB Leipzig</v>
      </c>
      <c r="I202" s="96" t="str">
        <f t="shared" si="37"/>
        <v>0</v>
      </c>
      <c r="J202" s="97" t="str">
        <f t="shared" si="38"/>
        <v>5</v>
      </c>
      <c r="L202" s="67">
        <f t="shared" si="39"/>
        <v>0</v>
      </c>
      <c r="M202" s="67">
        <f t="shared" si="40"/>
        <v>3</v>
      </c>
      <c r="O202" s="67" t="str">
        <f t="shared" si="41"/>
        <v/>
      </c>
      <c r="P202" s="67"/>
      <c r="Q202" s="67"/>
      <c r="R202" s="67"/>
      <c r="S202" s="67"/>
      <c r="T202" s="67"/>
      <c r="U202" s="67"/>
      <c r="V202" s="67"/>
      <c r="W202" s="67"/>
      <c r="X202" s="67"/>
      <c r="Y202" s="67"/>
      <c r="Z202" s="67"/>
      <c r="AA202" s="67"/>
      <c r="AB202" s="67"/>
      <c r="AC202" s="67"/>
      <c r="AD202" s="67"/>
      <c r="AE202" s="67"/>
      <c r="AF202" s="67"/>
      <c r="AG202" s="67"/>
      <c r="AH202" s="67"/>
      <c r="AI202" s="67"/>
      <c r="AJ202" s="67"/>
      <c r="AK202" s="67"/>
      <c r="AL202" s="67"/>
      <c r="AM202" s="67"/>
      <c r="AN202" s="67"/>
      <c r="AO202" s="67"/>
    </row>
    <row r="203" spans="3:41" x14ac:dyDescent="0.25">
      <c r="C203" s="94" t="str">
        <f t="shared" si="36"/>
        <v/>
      </c>
      <c r="D203" s="95">
        <v>23</v>
      </c>
      <c r="E203" s="96" t="str">
        <f>BUNDESLIGA!F248&amp;IF(OR(BUNDESLIGA!G248="",BUNDESLIGA!H248=""),"",IF(BUNDESLIGA!G248&gt;BUNDESLIGA!H248,"",IF(BUNDESLIGA!G248&lt;BUNDESLIGA!H248,"","")))</f>
        <v>Bor. Mönchengladbach</v>
      </c>
      <c r="F203" s="96" t="str">
        <f>BUNDESLIGA!I248&amp;IF(OR(BUNDESLIGA!G248="",BUNDESLIGA!H248=""),"",IF(BUNDESLIGA!G248&lt;BUNDESLIGA!H248,"",IF(BUNDESLIGA!G248&gt;BUNDESLIGA!H248,"","")))</f>
        <v>1899 Hoffenheim</v>
      </c>
      <c r="G203" s="96" t="str">
        <f>IF(BUNDESLIGA!G248&lt;&gt;"",BUNDESLIGA!G248&amp;" - "&amp;BUNDESLIGA!H248,"")</f>
        <v>1 - 1</v>
      </c>
      <c r="H203" s="96" t="str">
        <f t="shared" si="42"/>
        <v>Bor. Mönchengladbach-1899 Hoffenheim</v>
      </c>
      <c r="I203" s="96" t="str">
        <f t="shared" si="37"/>
        <v>1</v>
      </c>
      <c r="J203" s="97" t="str">
        <f t="shared" si="38"/>
        <v>1</v>
      </c>
      <c r="L203" s="67">
        <f t="shared" si="39"/>
        <v>1</v>
      </c>
      <c r="M203" s="67">
        <f t="shared" si="40"/>
        <v>1</v>
      </c>
      <c r="O203" s="67" t="str">
        <f t="shared" si="41"/>
        <v/>
      </c>
      <c r="P203" s="67"/>
      <c r="Q203" s="67"/>
      <c r="R203" s="67"/>
      <c r="S203" s="67"/>
      <c r="T203" s="67"/>
      <c r="U203" s="67"/>
      <c r="V203" s="67"/>
      <c r="W203" s="67"/>
      <c r="X203" s="67"/>
      <c r="Y203" s="67"/>
      <c r="Z203" s="67"/>
      <c r="AA203" s="67"/>
      <c r="AB203" s="67"/>
      <c r="AC203" s="67"/>
      <c r="AD203" s="67"/>
      <c r="AE203" s="67"/>
      <c r="AF203" s="67"/>
      <c r="AG203" s="67"/>
      <c r="AH203" s="67"/>
      <c r="AI203" s="67"/>
      <c r="AJ203" s="67"/>
      <c r="AK203" s="67"/>
      <c r="AL203" s="67"/>
      <c r="AM203" s="67"/>
      <c r="AN203" s="67"/>
      <c r="AO203" s="67"/>
    </row>
    <row r="204" spans="3:41" x14ac:dyDescent="0.25">
      <c r="C204" s="94" t="str">
        <f t="shared" si="36"/>
        <v/>
      </c>
      <c r="D204" s="95">
        <v>23</v>
      </c>
      <c r="E204" s="96" t="str">
        <f>BUNDESLIGA!F249&amp;IF(OR(BUNDESLIGA!G249="",BUNDESLIGA!H249=""),"",IF(BUNDESLIGA!G249&gt;BUNDESLIGA!H249,"",IF(BUNDESLIGA!G249&lt;BUNDESLIGA!H249,"","")))</f>
        <v>SC Freiburg</v>
      </c>
      <c r="F204" s="96" t="str">
        <f>BUNDESLIGA!I249&amp;IF(OR(BUNDESLIGA!G249="",BUNDESLIGA!H249=""),"",IF(BUNDESLIGA!G249&lt;BUNDESLIGA!H249,"",IF(BUNDESLIGA!G249&gt;BUNDESLIGA!H249,"","")))</f>
        <v>Fortuna Düsseldorf</v>
      </c>
      <c r="G204" s="96" t="str">
        <f>IF(BUNDESLIGA!G249&lt;&gt;"",BUNDESLIGA!G249&amp;" - "&amp;BUNDESLIGA!H249,"")</f>
        <v>0 - 2</v>
      </c>
      <c r="H204" s="96" t="str">
        <f t="shared" si="42"/>
        <v>SC Freiburg-Fortuna Düsseldorf</v>
      </c>
      <c r="I204" s="96" t="str">
        <f t="shared" si="37"/>
        <v>0</v>
      </c>
      <c r="J204" s="97" t="str">
        <f t="shared" si="38"/>
        <v>2</v>
      </c>
      <c r="L204" s="67">
        <f t="shared" si="39"/>
        <v>0</v>
      </c>
      <c r="M204" s="67">
        <f t="shared" si="40"/>
        <v>3</v>
      </c>
      <c r="O204" s="67" t="str">
        <f t="shared" si="41"/>
        <v/>
      </c>
      <c r="P204" s="67"/>
      <c r="Q204" s="67"/>
      <c r="R204" s="67"/>
      <c r="S204" s="67"/>
      <c r="T204" s="67"/>
      <c r="U204" s="67"/>
      <c r="V204" s="67"/>
      <c r="W204" s="67"/>
      <c r="X204" s="67"/>
      <c r="Y204" s="67"/>
      <c r="Z204" s="67"/>
      <c r="AA204" s="67"/>
      <c r="AB204" s="67"/>
      <c r="AC204" s="67"/>
      <c r="AD204" s="67"/>
      <c r="AE204" s="67"/>
      <c r="AF204" s="67"/>
      <c r="AG204" s="67"/>
      <c r="AH204" s="67"/>
      <c r="AI204" s="67"/>
      <c r="AJ204" s="67"/>
      <c r="AK204" s="67"/>
      <c r="AL204" s="67"/>
      <c r="AM204" s="67"/>
      <c r="AN204" s="67"/>
      <c r="AO204" s="67"/>
    </row>
    <row r="205" spans="3:41" x14ac:dyDescent="0.25">
      <c r="C205" s="94" t="str">
        <f t="shared" si="36"/>
        <v/>
      </c>
      <c r="D205" s="95">
        <v>23</v>
      </c>
      <c r="E205" s="96" t="str">
        <f>BUNDESLIGA!F250&amp;IF(OR(BUNDESLIGA!G250="",BUNDESLIGA!H250=""),"",IF(BUNDESLIGA!G250&gt;BUNDESLIGA!H250,"",IF(BUNDESLIGA!G250&lt;BUNDESLIGA!H250,"","")))</f>
        <v>VfL Wolfsburg</v>
      </c>
      <c r="F205" s="96" t="str">
        <f>BUNDESLIGA!I250&amp;IF(OR(BUNDESLIGA!G250="",BUNDESLIGA!H250=""),"",IF(BUNDESLIGA!G250&lt;BUNDESLIGA!H250,"",IF(BUNDESLIGA!G250&gt;BUNDESLIGA!H250,"","")))</f>
        <v>1. FSV Mainz 05</v>
      </c>
      <c r="G205" s="96" t="str">
        <f>IF(BUNDESLIGA!G250&lt;&gt;"",BUNDESLIGA!G250&amp;" - "&amp;BUNDESLIGA!H250,"")</f>
        <v>4 - 0</v>
      </c>
      <c r="H205" s="96" t="str">
        <f t="shared" si="42"/>
        <v>VfL Wolfsburg-1. FSV Mainz 05</v>
      </c>
      <c r="I205" s="96" t="str">
        <f t="shared" si="37"/>
        <v>4</v>
      </c>
      <c r="J205" s="97" t="str">
        <f t="shared" si="38"/>
        <v>0</v>
      </c>
      <c r="L205" s="67">
        <f t="shared" si="39"/>
        <v>3</v>
      </c>
      <c r="M205" s="67">
        <f t="shared" si="40"/>
        <v>0</v>
      </c>
      <c r="O205" s="67" t="str">
        <f t="shared" si="41"/>
        <v/>
      </c>
      <c r="P205" s="67"/>
      <c r="Q205" s="67"/>
      <c r="R205" s="67"/>
      <c r="S205" s="67"/>
      <c r="T205" s="67"/>
      <c r="U205" s="67"/>
      <c r="V205" s="67"/>
      <c r="W205" s="67"/>
      <c r="X205" s="67"/>
      <c r="Y205" s="67"/>
      <c r="Z205" s="67"/>
      <c r="AA205" s="67"/>
      <c r="AB205" s="67"/>
      <c r="AC205" s="67"/>
      <c r="AD205" s="67"/>
      <c r="AE205" s="67"/>
      <c r="AF205" s="67"/>
      <c r="AG205" s="67"/>
      <c r="AH205" s="67"/>
      <c r="AI205" s="67"/>
      <c r="AJ205" s="67"/>
      <c r="AK205" s="67"/>
      <c r="AL205" s="67"/>
      <c r="AM205" s="67"/>
      <c r="AN205" s="67"/>
      <c r="AO205" s="67"/>
    </row>
    <row r="206" spans="3:41" x14ac:dyDescent="0.25">
      <c r="C206" s="94">
        <f t="shared" si="36"/>
        <v>23</v>
      </c>
      <c r="D206" s="95">
        <v>23</v>
      </c>
      <c r="E206" s="96" t="str">
        <f>BUNDESLIGA!F251&amp;IF(OR(BUNDESLIGA!G251="",BUNDESLIGA!H251=""),"",IF(BUNDESLIGA!G251&gt;BUNDESLIGA!H251,"",IF(BUNDESLIGA!G251&lt;BUNDESLIGA!H251,"","")))</f>
        <v>Bayer Leverkusen</v>
      </c>
      <c r="F206" s="96" t="str">
        <f>BUNDESLIGA!I251&amp;IF(OR(BUNDESLIGA!G251="",BUNDESLIGA!H251=""),"",IF(BUNDESLIGA!G251&lt;BUNDESLIGA!H251,"",IF(BUNDESLIGA!G251&gt;BUNDESLIGA!H251,"","")))</f>
        <v>FC Augsburg</v>
      </c>
      <c r="G206" s="96" t="str">
        <f>IF(BUNDESLIGA!G251&lt;&gt;"",BUNDESLIGA!G251&amp;" - "&amp;BUNDESLIGA!H251,"")</f>
        <v>2 - 0</v>
      </c>
      <c r="H206" s="96" t="str">
        <f t="shared" si="42"/>
        <v>Bayer Leverkusen-FC Augsburg</v>
      </c>
      <c r="I206" s="96" t="str">
        <f t="shared" si="37"/>
        <v>2</v>
      </c>
      <c r="J206" s="97" t="str">
        <f t="shared" si="38"/>
        <v>0</v>
      </c>
      <c r="L206" s="67">
        <f t="shared" si="39"/>
        <v>3</v>
      </c>
      <c r="M206" s="67">
        <f t="shared" si="40"/>
        <v>0</v>
      </c>
      <c r="O206" s="67">
        <f t="shared" si="41"/>
        <v>206</v>
      </c>
      <c r="P206" s="67"/>
      <c r="Q206" s="67"/>
      <c r="R206" s="67"/>
      <c r="S206" s="67"/>
      <c r="T206" s="67"/>
      <c r="U206" s="67"/>
      <c r="V206" s="67"/>
      <c r="W206" s="67"/>
      <c r="X206" s="67"/>
      <c r="Y206" s="67"/>
      <c r="Z206" s="67"/>
      <c r="AA206" s="67"/>
      <c r="AB206" s="67"/>
      <c r="AC206" s="67"/>
      <c r="AD206" s="67"/>
      <c r="AE206" s="67"/>
      <c r="AF206" s="67"/>
      <c r="AG206" s="67"/>
      <c r="AH206" s="67"/>
      <c r="AI206" s="67"/>
      <c r="AJ206" s="67"/>
      <c r="AK206" s="67"/>
      <c r="AL206" s="67"/>
      <c r="AM206" s="67"/>
      <c r="AN206" s="67"/>
      <c r="AO206" s="67"/>
    </row>
    <row r="207" spans="3:41" x14ac:dyDescent="0.25">
      <c r="C207" s="94" t="str">
        <f t="shared" si="36"/>
        <v/>
      </c>
      <c r="D207" s="95">
        <v>23</v>
      </c>
      <c r="E207" s="96" t="str">
        <f>BUNDESLIGA!F252&amp;IF(OR(BUNDESLIGA!G252="",BUNDESLIGA!H252=""),"",IF(BUNDESLIGA!G252&gt;BUNDESLIGA!H252,"",IF(BUNDESLIGA!G252&lt;BUNDESLIGA!H252,"","")))</f>
        <v>Hertha BSC</v>
      </c>
      <c r="F207" s="96" t="str">
        <f>BUNDESLIGA!I252&amp;IF(OR(BUNDESLIGA!G252="",BUNDESLIGA!H252=""),"",IF(BUNDESLIGA!G252&lt;BUNDESLIGA!H252,"",IF(BUNDESLIGA!G252&gt;BUNDESLIGA!H252,"","")))</f>
        <v>1. FC Köln</v>
      </c>
      <c r="G207" s="96" t="str">
        <f>IF(BUNDESLIGA!G252&lt;&gt;"",BUNDESLIGA!G252&amp;" - "&amp;BUNDESLIGA!H252,"")</f>
        <v>0 - 5</v>
      </c>
      <c r="H207" s="96" t="str">
        <f t="shared" si="42"/>
        <v>Hertha BSC-1. FC Köln</v>
      </c>
      <c r="I207" s="96" t="str">
        <f t="shared" si="37"/>
        <v>0</v>
      </c>
      <c r="J207" s="97" t="str">
        <f t="shared" si="38"/>
        <v>5</v>
      </c>
      <c r="L207" s="67">
        <f t="shared" si="39"/>
        <v>0</v>
      </c>
      <c r="M207" s="67">
        <f t="shared" si="40"/>
        <v>3</v>
      </c>
      <c r="O207" s="67" t="str">
        <f t="shared" si="41"/>
        <v/>
      </c>
      <c r="P207" s="67"/>
      <c r="Q207" s="67"/>
      <c r="R207" s="67"/>
      <c r="S207" s="67"/>
      <c r="T207" s="67"/>
      <c r="U207" s="67"/>
      <c r="V207" s="67"/>
      <c r="W207" s="67"/>
      <c r="X207" s="67"/>
      <c r="Y207" s="67"/>
      <c r="Z207" s="67"/>
      <c r="AA207" s="67"/>
      <c r="AB207" s="67"/>
      <c r="AC207" s="67"/>
      <c r="AD207" s="67"/>
      <c r="AE207" s="67"/>
      <c r="AF207" s="67"/>
      <c r="AG207" s="67"/>
      <c r="AH207" s="67"/>
      <c r="AI207" s="67"/>
      <c r="AJ207" s="67"/>
      <c r="AK207" s="67"/>
      <c r="AL207" s="67"/>
      <c r="AM207" s="67"/>
      <c r="AN207" s="67"/>
      <c r="AO207" s="67"/>
    </row>
    <row r="208" spans="3:41" x14ac:dyDescent="0.25">
      <c r="C208" s="94" t="str">
        <f t="shared" si="36"/>
        <v/>
      </c>
      <c r="D208" s="95">
        <v>23</v>
      </c>
      <c r="E208" s="96" t="str">
        <f>BUNDESLIGA!F253&amp;IF(OR(BUNDESLIGA!G253="",BUNDESLIGA!H253=""),"",IF(BUNDESLIGA!G253&gt;BUNDESLIGA!H253,"",IF(BUNDESLIGA!G253&lt;BUNDESLIGA!H253,"","")))</f>
        <v>Bayern München</v>
      </c>
      <c r="F208" s="96" t="str">
        <f>BUNDESLIGA!I253&amp;IF(OR(BUNDESLIGA!G253="",BUNDESLIGA!H253=""),"",IF(BUNDESLIGA!G253&lt;BUNDESLIGA!H253,"",IF(BUNDESLIGA!G253&gt;BUNDESLIGA!H253,"","")))</f>
        <v>SC Paderborn 07</v>
      </c>
      <c r="G208" s="96" t="str">
        <f>IF(BUNDESLIGA!G253&lt;&gt;"",BUNDESLIGA!G253&amp;" - "&amp;BUNDESLIGA!H253,"")</f>
        <v>3 - 2</v>
      </c>
      <c r="H208" s="96" t="str">
        <f t="shared" si="42"/>
        <v>Bayern München-SC Paderborn 07</v>
      </c>
      <c r="I208" s="96" t="str">
        <f t="shared" si="37"/>
        <v>3</v>
      </c>
      <c r="J208" s="97" t="str">
        <f t="shared" si="38"/>
        <v>2</v>
      </c>
      <c r="L208" s="67">
        <f t="shared" si="39"/>
        <v>3</v>
      </c>
      <c r="M208" s="67">
        <f t="shared" si="40"/>
        <v>0</v>
      </c>
      <c r="O208" s="67" t="str">
        <f t="shared" si="41"/>
        <v/>
      </c>
      <c r="P208" s="67"/>
      <c r="Q208" s="67"/>
      <c r="R208" s="67"/>
      <c r="S208" s="67"/>
      <c r="T208" s="67"/>
      <c r="U208" s="67"/>
      <c r="V208" s="67"/>
      <c r="W208" s="67"/>
      <c r="X208" s="67"/>
      <c r="Y208" s="67"/>
      <c r="Z208" s="67"/>
      <c r="AA208" s="67"/>
      <c r="AB208" s="67"/>
      <c r="AC208" s="67"/>
      <c r="AD208" s="67"/>
      <c r="AE208" s="67"/>
      <c r="AF208" s="67"/>
      <c r="AG208" s="67"/>
      <c r="AH208" s="67"/>
      <c r="AI208" s="67"/>
      <c r="AJ208" s="67"/>
      <c r="AK208" s="67"/>
      <c r="AL208" s="67"/>
      <c r="AM208" s="67"/>
      <c r="AN208" s="67"/>
      <c r="AO208" s="67"/>
    </row>
    <row r="209" spans="3:41" x14ac:dyDescent="0.25">
      <c r="C209" s="94" t="str">
        <f t="shared" si="36"/>
        <v/>
      </c>
      <c r="D209" s="95">
        <v>23</v>
      </c>
      <c r="E209" s="96" t="str">
        <f>BUNDESLIGA!F254&amp;IF(OR(BUNDESLIGA!G254="",BUNDESLIGA!H254=""),"",IF(BUNDESLIGA!G254&gt;BUNDESLIGA!H254,"",IF(BUNDESLIGA!G254&lt;BUNDESLIGA!H254,"","")))</f>
        <v>Eintracht Frankfurt</v>
      </c>
      <c r="F209" s="96" t="str">
        <f>BUNDESLIGA!I254&amp;IF(OR(BUNDESLIGA!G254="",BUNDESLIGA!H254=""),"",IF(BUNDESLIGA!G254&lt;BUNDESLIGA!H254,"",IF(BUNDESLIGA!G254&gt;BUNDESLIGA!H254,"","")))</f>
        <v>1. FC Union Berlin</v>
      </c>
      <c r="G209" s="96" t="str">
        <f>IF(BUNDESLIGA!G254&lt;&gt;"",BUNDESLIGA!G254&amp;" - "&amp;BUNDESLIGA!H254,"")</f>
        <v>1 - 2</v>
      </c>
      <c r="H209" s="96" t="str">
        <f t="shared" si="42"/>
        <v>Eintracht Frankfurt-1. FC Union Berlin</v>
      </c>
      <c r="I209" s="96" t="str">
        <f t="shared" si="37"/>
        <v>1</v>
      </c>
      <c r="J209" s="97" t="str">
        <f t="shared" si="38"/>
        <v>2</v>
      </c>
      <c r="L209" s="67">
        <f t="shared" si="39"/>
        <v>0</v>
      </c>
      <c r="M209" s="67">
        <f t="shared" si="40"/>
        <v>3</v>
      </c>
      <c r="O209" s="67" t="str">
        <f t="shared" si="41"/>
        <v/>
      </c>
      <c r="P209" s="67"/>
      <c r="Q209" s="67"/>
      <c r="R209" s="67"/>
      <c r="S209" s="67"/>
      <c r="T209" s="67"/>
      <c r="U209" s="67"/>
      <c r="V209" s="67"/>
      <c r="W209" s="67"/>
      <c r="X209" s="67"/>
      <c r="Y209" s="67"/>
      <c r="Z209" s="67"/>
      <c r="AA209" s="67"/>
      <c r="AB209" s="67"/>
      <c r="AC209" s="67"/>
      <c r="AD209" s="67"/>
      <c r="AE209" s="67"/>
      <c r="AF209" s="67"/>
      <c r="AG209" s="67"/>
      <c r="AH209" s="67"/>
      <c r="AI209" s="67"/>
      <c r="AJ209" s="67"/>
      <c r="AK209" s="67"/>
      <c r="AL209" s="67"/>
      <c r="AM209" s="67"/>
      <c r="AN209" s="67"/>
      <c r="AO209" s="67"/>
    </row>
    <row r="210" spans="3:41" x14ac:dyDescent="0.25">
      <c r="C210" s="94" t="str">
        <f t="shared" si="36"/>
        <v/>
      </c>
      <c r="D210" s="95">
        <v>24</v>
      </c>
      <c r="E210" s="96" t="str">
        <f>BUNDESLIGA!F257&amp;IF(OR(BUNDESLIGA!G257="",BUNDESLIGA!H257=""),"",IF(BUNDESLIGA!G257&gt;BUNDESLIGA!H257,"",IF(BUNDESLIGA!G257&lt;BUNDESLIGA!H257,"","")))</f>
        <v>1899 Hoffenheim</v>
      </c>
      <c r="F210" s="96" t="str">
        <f>BUNDESLIGA!I257&amp;IF(OR(BUNDESLIGA!G257="",BUNDESLIGA!H257=""),"",IF(BUNDESLIGA!G257&lt;BUNDESLIGA!H257,"",IF(BUNDESLIGA!G257&gt;BUNDESLIGA!H257,"","")))</f>
        <v>Bayern München</v>
      </c>
      <c r="G210" s="96" t="str">
        <f>IF(BUNDESLIGA!G257&lt;&gt;"",BUNDESLIGA!G257&amp;" - "&amp;BUNDESLIGA!H257,"")</f>
        <v>0 - 6</v>
      </c>
      <c r="H210" s="96" t="str">
        <f t="shared" si="42"/>
        <v>1899 Hoffenheim-Bayern München</v>
      </c>
      <c r="I210" s="96" t="str">
        <f t="shared" si="37"/>
        <v>0</v>
      </c>
      <c r="J210" s="97" t="str">
        <f t="shared" si="38"/>
        <v>6</v>
      </c>
      <c r="L210" s="67">
        <f t="shared" si="39"/>
        <v>0</v>
      </c>
      <c r="M210" s="67">
        <f t="shared" si="40"/>
        <v>3</v>
      </c>
      <c r="O210" s="67" t="str">
        <f t="shared" si="41"/>
        <v/>
      </c>
      <c r="P210" s="67"/>
      <c r="Q210" s="67"/>
      <c r="R210" s="67"/>
      <c r="S210" s="67"/>
      <c r="T210" s="67"/>
      <c r="U210" s="67"/>
      <c r="V210" s="67"/>
      <c r="W210" s="67"/>
      <c r="X210" s="67"/>
      <c r="Y210" s="67"/>
      <c r="Z210" s="67"/>
      <c r="AA210" s="67"/>
      <c r="AB210" s="67"/>
      <c r="AC210" s="67"/>
      <c r="AD210" s="67"/>
      <c r="AE210" s="67"/>
      <c r="AF210" s="67"/>
      <c r="AG210" s="67"/>
      <c r="AH210" s="67"/>
      <c r="AI210" s="67"/>
      <c r="AJ210" s="67"/>
      <c r="AK210" s="67"/>
      <c r="AL210" s="67"/>
      <c r="AM210" s="67"/>
      <c r="AN210" s="67"/>
      <c r="AO210" s="67"/>
    </row>
    <row r="211" spans="3:41" x14ac:dyDescent="0.25">
      <c r="C211" s="94" t="str">
        <f t="shared" si="36"/>
        <v/>
      </c>
      <c r="D211" s="95">
        <v>24</v>
      </c>
      <c r="E211" s="96" t="str">
        <f>BUNDESLIGA!F258&amp;IF(OR(BUNDESLIGA!G258="",BUNDESLIGA!H258=""),"",IF(BUNDESLIGA!G258&gt;BUNDESLIGA!H258,"",IF(BUNDESLIGA!G258&lt;BUNDESLIGA!H258,"","")))</f>
        <v>RB Leipzig</v>
      </c>
      <c r="F211" s="96" t="str">
        <f>BUNDESLIGA!I258&amp;IF(OR(BUNDESLIGA!G258="",BUNDESLIGA!H258=""),"",IF(BUNDESLIGA!G258&lt;BUNDESLIGA!H258,"",IF(BUNDESLIGA!G258&gt;BUNDESLIGA!H258,"","")))</f>
        <v>Bayer Leverkusen</v>
      </c>
      <c r="G211" s="96" t="str">
        <f>IF(BUNDESLIGA!G258&lt;&gt;"",BUNDESLIGA!G258&amp;" - "&amp;BUNDESLIGA!H258,"")</f>
        <v>1 - 1</v>
      </c>
      <c r="H211" s="96" t="str">
        <f t="shared" si="42"/>
        <v>RB Leipzig-Bayer Leverkusen</v>
      </c>
      <c r="I211" s="96" t="str">
        <f t="shared" si="37"/>
        <v>1</v>
      </c>
      <c r="J211" s="97" t="str">
        <f t="shared" si="38"/>
        <v>1</v>
      </c>
      <c r="L211" s="67">
        <f t="shared" si="39"/>
        <v>1</v>
      </c>
      <c r="M211" s="67">
        <f t="shared" si="40"/>
        <v>1</v>
      </c>
      <c r="O211" s="67" t="str">
        <f t="shared" si="41"/>
        <v/>
      </c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Z211" s="67"/>
      <c r="AA211" s="67"/>
      <c r="AB211" s="67"/>
      <c r="AC211" s="67"/>
      <c r="AD211" s="67"/>
      <c r="AE211" s="67"/>
      <c r="AF211" s="67"/>
      <c r="AG211" s="67"/>
      <c r="AH211" s="67"/>
      <c r="AI211" s="67"/>
      <c r="AJ211" s="67"/>
      <c r="AK211" s="67"/>
      <c r="AL211" s="67"/>
      <c r="AM211" s="67"/>
      <c r="AN211" s="67"/>
      <c r="AO211" s="67"/>
    </row>
    <row r="212" spans="3:41" x14ac:dyDescent="0.25">
      <c r="C212" s="94">
        <f t="shared" si="36"/>
        <v>24</v>
      </c>
      <c r="D212" s="95">
        <v>24</v>
      </c>
      <c r="E212" s="96" t="str">
        <f>BUNDESLIGA!F259&amp;IF(OR(BUNDESLIGA!G259="",BUNDESLIGA!H259=""),"",IF(BUNDESLIGA!G259&gt;BUNDESLIGA!H259,"",IF(BUNDESLIGA!G259&lt;BUNDESLIGA!H259,"","")))</f>
        <v>FC Augsburg</v>
      </c>
      <c r="F212" s="96" t="str">
        <f>BUNDESLIGA!I259&amp;IF(OR(BUNDESLIGA!G259="",BUNDESLIGA!H259=""),"",IF(BUNDESLIGA!G259&lt;BUNDESLIGA!H259,"",IF(BUNDESLIGA!G259&gt;BUNDESLIGA!H259,"","")))</f>
        <v>Bor. Mönchengladbach</v>
      </c>
      <c r="G212" s="96" t="str">
        <f>IF(BUNDESLIGA!G259&lt;&gt;"",BUNDESLIGA!G259&amp;" - "&amp;BUNDESLIGA!H259,"")</f>
        <v>2 - 3</v>
      </c>
      <c r="H212" s="96" t="str">
        <f t="shared" si="42"/>
        <v>FC Augsburg-Bor. Mönchengladbach</v>
      </c>
      <c r="I212" s="96" t="str">
        <f t="shared" si="37"/>
        <v>2</v>
      </c>
      <c r="J212" s="97" t="str">
        <f t="shared" si="38"/>
        <v>3</v>
      </c>
      <c r="L212" s="67">
        <f t="shared" si="39"/>
        <v>0</v>
      </c>
      <c r="M212" s="67">
        <f t="shared" si="40"/>
        <v>3</v>
      </c>
      <c r="O212" s="67">
        <f t="shared" si="41"/>
        <v>212</v>
      </c>
      <c r="P212" s="67"/>
      <c r="Q212" s="67"/>
      <c r="R212" s="67"/>
      <c r="S212" s="67"/>
      <c r="T212" s="67"/>
      <c r="U212" s="67"/>
      <c r="V212" s="67"/>
      <c r="W212" s="67"/>
      <c r="X212" s="67"/>
      <c r="Y212" s="67"/>
      <c r="Z212" s="67"/>
      <c r="AA212" s="67"/>
      <c r="AB212" s="67"/>
      <c r="AC212" s="67"/>
      <c r="AD212" s="67"/>
      <c r="AE212" s="67"/>
      <c r="AF212" s="67"/>
      <c r="AG212" s="67"/>
      <c r="AH212" s="67"/>
      <c r="AI212" s="67"/>
      <c r="AJ212" s="67"/>
      <c r="AK212" s="67"/>
      <c r="AL212" s="67"/>
      <c r="AM212" s="67"/>
      <c r="AN212" s="67"/>
      <c r="AO212" s="67"/>
    </row>
    <row r="213" spans="3:41" x14ac:dyDescent="0.25">
      <c r="C213" s="94" t="str">
        <f t="shared" si="36"/>
        <v/>
      </c>
      <c r="D213" s="95">
        <v>24</v>
      </c>
      <c r="E213" s="96" t="str">
        <f>BUNDESLIGA!F260&amp;IF(OR(BUNDESLIGA!G260="",BUNDESLIGA!H260=""),"",IF(BUNDESLIGA!G260&gt;BUNDESLIGA!H260,"",IF(BUNDESLIGA!G260&lt;BUNDESLIGA!H260,"","")))</f>
        <v>1. FC Union Berlin</v>
      </c>
      <c r="F213" s="96" t="str">
        <f>BUNDESLIGA!I260&amp;IF(OR(BUNDESLIGA!G260="",BUNDESLIGA!H260=""),"",IF(BUNDESLIGA!G260&lt;BUNDESLIGA!H260,"",IF(BUNDESLIGA!G260&gt;BUNDESLIGA!H260,"","")))</f>
        <v>VfL Wolfsburg</v>
      </c>
      <c r="G213" s="96" t="str">
        <f>IF(BUNDESLIGA!G260&lt;&gt;"",BUNDESLIGA!G260&amp;" - "&amp;BUNDESLIGA!H260,"")</f>
        <v>2 - 2</v>
      </c>
      <c r="H213" s="96" t="str">
        <f t="shared" si="42"/>
        <v>1. FC Union Berlin-VfL Wolfsburg</v>
      </c>
      <c r="I213" s="96" t="str">
        <f t="shared" si="37"/>
        <v>2</v>
      </c>
      <c r="J213" s="97" t="str">
        <f t="shared" si="38"/>
        <v>2</v>
      </c>
      <c r="L213" s="67">
        <f t="shared" si="39"/>
        <v>1</v>
      </c>
      <c r="M213" s="67">
        <f t="shared" si="40"/>
        <v>1</v>
      </c>
      <c r="O213" s="67" t="str">
        <f t="shared" si="41"/>
        <v/>
      </c>
      <c r="P213" s="67"/>
      <c r="Q213" s="67"/>
      <c r="R213" s="67"/>
      <c r="S213" s="67"/>
      <c r="T213" s="67"/>
      <c r="U213" s="67"/>
      <c r="V213" s="67"/>
      <c r="W213" s="67"/>
      <c r="X213" s="67"/>
      <c r="Y213" s="67"/>
      <c r="Z213" s="67"/>
      <c r="AA213" s="67"/>
      <c r="AB213" s="67"/>
      <c r="AC213" s="67"/>
      <c r="AD213" s="67"/>
      <c r="AE213" s="67"/>
      <c r="AF213" s="67"/>
      <c r="AG213" s="67"/>
      <c r="AH213" s="67"/>
      <c r="AI213" s="67"/>
      <c r="AJ213" s="67"/>
      <c r="AK213" s="67"/>
      <c r="AL213" s="67"/>
      <c r="AM213" s="67"/>
      <c r="AN213" s="67"/>
      <c r="AO213" s="67"/>
    </row>
    <row r="214" spans="3:41" x14ac:dyDescent="0.25">
      <c r="C214" s="94" t="str">
        <f t="shared" si="36"/>
        <v/>
      </c>
      <c r="D214" s="95">
        <v>24</v>
      </c>
      <c r="E214" s="96" t="str">
        <f>BUNDESLIGA!F261&amp;IF(OR(BUNDESLIGA!G261="",BUNDESLIGA!H261=""),"",IF(BUNDESLIGA!G261&gt;BUNDESLIGA!H261,"",IF(BUNDESLIGA!G261&lt;BUNDESLIGA!H261,"","")))</f>
        <v>Werder Bremen</v>
      </c>
      <c r="F214" s="96" t="str">
        <f>BUNDESLIGA!I261&amp;IF(OR(BUNDESLIGA!G261="",BUNDESLIGA!H261=""),"",IF(BUNDESLIGA!G261&lt;BUNDESLIGA!H261,"",IF(BUNDESLIGA!G261&gt;BUNDESLIGA!H261,"","")))</f>
        <v>Eintracht Frankfurt</v>
      </c>
      <c r="G214" s="96" t="str">
        <f>IF(BUNDESLIGA!G261&lt;&gt;"",BUNDESLIGA!G261&amp;" - "&amp;BUNDESLIGA!H261,"")</f>
        <v/>
      </c>
      <c r="H214" s="96" t="str">
        <f t="shared" si="42"/>
        <v>Werder Bremen-Eintracht Frankfurt</v>
      </c>
      <c r="I214" s="96" t="str">
        <f t="shared" si="37"/>
        <v/>
      </c>
      <c r="J214" s="97" t="str">
        <f t="shared" si="38"/>
        <v/>
      </c>
      <c r="L214" s="67" t="str">
        <f t="shared" si="39"/>
        <v/>
      </c>
      <c r="M214" s="67" t="str">
        <f t="shared" si="40"/>
        <v/>
      </c>
      <c r="O214" s="67" t="str">
        <f t="shared" si="41"/>
        <v/>
      </c>
      <c r="P214" s="67"/>
      <c r="Q214" s="67"/>
      <c r="R214" s="67"/>
      <c r="S214" s="67"/>
      <c r="T214" s="67"/>
      <c r="U214" s="67"/>
      <c r="V214" s="67"/>
      <c r="W214" s="67"/>
      <c r="X214" s="67"/>
      <c r="Y214" s="67"/>
      <c r="Z214" s="67"/>
      <c r="AA214" s="67"/>
      <c r="AB214" s="67"/>
      <c r="AC214" s="67"/>
      <c r="AD214" s="67"/>
      <c r="AE214" s="67"/>
      <c r="AF214" s="67"/>
      <c r="AG214" s="67"/>
      <c r="AH214" s="67"/>
      <c r="AI214" s="67"/>
      <c r="AJ214" s="67"/>
      <c r="AK214" s="67"/>
      <c r="AL214" s="67"/>
      <c r="AM214" s="67"/>
      <c r="AN214" s="67"/>
      <c r="AO214" s="67"/>
    </row>
    <row r="215" spans="3:41" x14ac:dyDescent="0.25">
      <c r="C215" s="94" t="str">
        <f t="shared" si="36"/>
        <v/>
      </c>
      <c r="D215" s="95">
        <v>24</v>
      </c>
      <c r="E215" s="96" t="str">
        <f>BUNDESLIGA!F262&amp;IF(OR(BUNDESLIGA!G262="",BUNDESLIGA!H262=""),"",IF(BUNDESLIGA!G262&gt;BUNDESLIGA!H262,"",IF(BUNDESLIGA!G262&lt;BUNDESLIGA!H262,"","")))</f>
        <v>Fortuna Düsseldorf</v>
      </c>
      <c r="F215" s="96" t="str">
        <f>BUNDESLIGA!I262&amp;IF(OR(BUNDESLIGA!G262="",BUNDESLIGA!H262=""),"",IF(BUNDESLIGA!G262&lt;BUNDESLIGA!H262,"",IF(BUNDESLIGA!G262&gt;BUNDESLIGA!H262,"","")))</f>
        <v>Hertha BSC</v>
      </c>
      <c r="G215" s="96" t="str">
        <f>IF(BUNDESLIGA!G262&lt;&gt;"",BUNDESLIGA!G262&amp;" - "&amp;BUNDESLIGA!H262,"")</f>
        <v>3 - 3</v>
      </c>
      <c r="H215" s="96" t="str">
        <f t="shared" si="42"/>
        <v>Fortuna Düsseldorf-Hertha BSC</v>
      </c>
      <c r="I215" s="96" t="str">
        <f t="shared" si="37"/>
        <v>3</v>
      </c>
      <c r="J215" s="97" t="str">
        <f t="shared" si="38"/>
        <v>3</v>
      </c>
      <c r="L215" s="67">
        <f t="shared" si="39"/>
        <v>1</v>
      </c>
      <c r="M215" s="67">
        <f t="shared" si="40"/>
        <v>1</v>
      </c>
      <c r="O215" s="67" t="str">
        <f t="shared" si="41"/>
        <v/>
      </c>
      <c r="P215" s="67"/>
      <c r="Q215" s="67"/>
      <c r="R215" s="67"/>
      <c r="S215" s="67"/>
      <c r="T215" s="67"/>
      <c r="U215" s="67"/>
      <c r="V215" s="67"/>
      <c r="W215" s="67"/>
      <c r="X215" s="67"/>
      <c r="Y215" s="67"/>
      <c r="Z215" s="67"/>
      <c r="AA215" s="67"/>
      <c r="AB215" s="67"/>
      <c r="AC215" s="67"/>
      <c r="AD215" s="67"/>
      <c r="AE215" s="67"/>
      <c r="AF215" s="67"/>
      <c r="AG215" s="67"/>
      <c r="AH215" s="67"/>
      <c r="AI215" s="67"/>
      <c r="AJ215" s="67"/>
      <c r="AK215" s="67"/>
      <c r="AL215" s="67"/>
      <c r="AM215" s="67"/>
      <c r="AN215" s="67"/>
      <c r="AO215" s="67"/>
    </row>
    <row r="216" spans="3:41" x14ac:dyDescent="0.25">
      <c r="C216" s="94" t="str">
        <f t="shared" si="36"/>
        <v/>
      </c>
      <c r="D216" s="95">
        <v>24</v>
      </c>
      <c r="E216" s="96" t="str">
        <f>BUNDESLIGA!F263&amp;IF(OR(BUNDESLIGA!G263="",BUNDESLIGA!H263=""),"",IF(BUNDESLIGA!G263&gt;BUNDESLIGA!H263,"",IF(BUNDESLIGA!G263&lt;BUNDESLIGA!H263,"","")))</f>
        <v>Borussia Dortmund</v>
      </c>
      <c r="F216" s="96" t="str">
        <f>BUNDESLIGA!I263&amp;IF(OR(BUNDESLIGA!G263="",BUNDESLIGA!H263=""),"",IF(BUNDESLIGA!G263&lt;BUNDESLIGA!H263,"",IF(BUNDESLIGA!G263&gt;BUNDESLIGA!H263,"","")))</f>
        <v>SC Freiburg</v>
      </c>
      <c r="G216" s="96" t="str">
        <f>IF(BUNDESLIGA!G263&lt;&gt;"",BUNDESLIGA!G263&amp;" - "&amp;BUNDESLIGA!H263,"")</f>
        <v>1 - 0</v>
      </c>
      <c r="H216" s="96" t="str">
        <f t="shared" si="42"/>
        <v>Borussia Dortmund-SC Freiburg</v>
      </c>
      <c r="I216" s="96" t="str">
        <f t="shared" si="37"/>
        <v>1</v>
      </c>
      <c r="J216" s="97" t="str">
        <f t="shared" si="38"/>
        <v>0</v>
      </c>
      <c r="L216" s="67">
        <f t="shared" si="39"/>
        <v>3</v>
      </c>
      <c r="M216" s="67">
        <f t="shared" si="40"/>
        <v>0</v>
      </c>
      <c r="O216" s="67" t="str">
        <f t="shared" si="41"/>
        <v/>
      </c>
      <c r="P216" s="67"/>
      <c r="Q216" s="67"/>
      <c r="R216" s="67"/>
      <c r="S216" s="67"/>
      <c r="T216" s="67"/>
      <c r="U216" s="67"/>
      <c r="V216" s="67"/>
      <c r="W216" s="67"/>
      <c r="X216" s="67"/>
      <c r="Y216" s="67"/>
      <c r="Z216" s="67"/>
      <c r="AA216" s="67"/>
      <c r="AB216" s="67"/>
      <c r="AC216" s="67"/>
      <c r="AD216" s="67"/>
      <c r="AE216" s="67"/>
      <c r="AF216" s="67"/>
      <c r="AG216" s="67"/>
      <c r="AH216" s="67"/>
      <c r="AI216" s="67"/>
      <c r="AJ216" s="67"/>
      <c r="AK216" s="67"/>
      <c r="AL216" s="67"/>
      <c r="AM216" s="67"/>
      <c r="AN216" s="67"/>
      <c r="AO216" s="67"/>
    </row>
    <row r="217" spans="3:41" x14ac:dyDescent="0.25">
      <c r="C217" s="94" t="str">
        <f t="shared" si="36"/>
        <v/>
      </c>
      <c r="D217" s="95">
        <v>24</v>
      </c>
      <c r="E217" s="96" t="str">
        <f>BUNDESLIGA!F264&amp;IF(OR(BUNDESLIGA!G264="",BUNDESLIGA!H264=""),"",IF(BUNDESLIGA!G264&gt;BUNDESLIGA!H264,"",IF(BUNDESLIGA!G264&lt;BUNDESLIGA!H264,"","")))</f>
        <v>1. FC Köln</v>
      </c>
      <c r="F217" s="96" t="str">
        <f>BUNDESLIGA!I264&amp;IF(OR(BUNDESLIGA!G264="",BUNDESLIGA!H264=""),"",IF(BUNDESLIGA!G264&lt;BUNDESLIGA!H264,"",IF(BUNDESLIGA!G264&gt;BUNDESLIGA!H264,"","")))</f>
        <v>FC Schalke 04</v>
      </c>
      <c r="G217" s="96" t="str">
        <f>IF(BUNDESLIGA!G264&lt;&gt;"",BUNDESLIGA!G264&amp;" - "&amp;BUNDESLIGA!H264,"")</f>
        <v>3 - 0</v>
      </c>
      <c r="H217" s="96" t="str">
        <f t="shared" si="42"/>
        <v>1. FC Köln-FC Schalke 04</v>
      </c>
      <c r="I217" s="96" t="str">
        <f t="shared" si="37"/>
        <v>3</v>
      </c>
      <c r="J217" s="97" t="str">
        <f t="shared" si="38"/>
        <v>0</v>
      </c>
      <c r="L217" s="67">
        <f t="shared" si="39"/>
        <v>3</v>
      </c>
      <c r="M217" s="67">
        <f t="shared" si="40"/>
        <v>0</v>
      </c>
      <c r="O217" s="67" t="str">
        <f t="shared" si="41"/>
        <v/>
      </c>
      <c r="P217" s="67"/>
      <c r="Q217" s="67"/>
      <c r="R217" s="67"/>
      <c r="S217" s="67"/>
      <c r="T217" s="67"/>
      <c r="U217" s="67"/>
      <c r="V217" s="67"/>
      <c r="W217" s="67"/>
      <c r="X217" s="67"/>
      <c r="Y217" s="67"/>
      <c r="Z217" s="67"/>
      <c r="AA217" s="67"/>
      <c r="AB217" s="67"/>
      <c r="AC217" s="67"/>
      <c r="AD217" s="67"/>
      <c r="AE217" s="67"/>
      <c r="AF217" s="67"/>
      <c r="AG217" s="67"/>
      <c r="AH217" s="67"/>
      <c r="AI217" s="67"/>
      <c r="AJ217" s="67"/>
      <c r="AK217" s="67"/>
      <c r="AL217" s="67"/>
      <c r="AM217" s="67"/>
      <c r="AN217" s="67"/>
      <c r="AO217" s="67"/>
    </row>
    <row r="218" spans="3:41" x14ac:dyDescent="0.25">
      <c r="C218" s="94" t="str">
        <f t="shared" si="36"/>
        <v/>
      </c>
      <c r="D218" s="95">
        <v>24</v>
      </c>
      <c r="E218" s="96" t="str">
        <f>BUNDESLIGA!F265&amp;IF(OR(BUNDESLIGA!G265="",BUNDESLIGA!H265=""),"",IF(BUNDESLIGA!G265&gt;BUNDESLIGA!H265,"",IF(BUNDESLIGA!G265&lt;BUNDESLIGA!H265,"","")))</f>
        <v>1. FSV Mainz 05</v>
      </c>
      <c r="F218" s="96" t="str">
        <f>BUNDESLIGA!I265&amp;IF(OR(BUNDESLIGA!G265="",BUNDESLIGA!H265=""),"",IF(BUNDESLIGA!G265&lt;BUNDESLIGA!H265,"",IF(BUNDESLIGA!G265&gt;BUNDESLIGA!H265,"","")))</f>
        <v>SC Paderborn 07</v>
      </c>
      <c r="G218" s="96" t="str">
        <f>IF(BUNDESLIGA!G265&lt;&gt;"",BUNDESLIGA!G265&amp;" - "&amp;BUNDESLIGA!H265,"")</f>
        <v>2 - 0</v>
      </c>
      <c r="H218" s="96" t="str">
        <f t="shared" si="42"/>
        <v>1. FSV Mainz 05-SC Paderborn 07</v>
      </c>
      <c r="I218" s="96" t="str">
        <f t="shared" si="37"/>
        <v>2</v>
      </c>
      <c r="J218" s="97" t="str">
        <f t="shared" si="38"/>
        <v>0</v>
      </c>
      <c r="L218" s="67">
        <f t="shared" si="39"/>
        <v>3</v>
      </c>
      <c r="M218" s="67">
        <f t="shared" si="40"/>
        <v>0</v>
      </c>
      <c r="O218" s="67" t="str">
        <f t="shared" si="41"/>
        <v/>
      </c>
      <c r="P218" s="67"/>
      <c r="Q218" s="67"/>
      <c r="R218" s="67"/>
      <c r="S218" s="67"/>
      <c r="T218" s="67"/>
      <c r="U218" s="67"/>
      <c r="V218" s="67"/>
      <c r="W218" s="67"/>
      <c r="X218" s="67"/>
      <c r="Y218" s="67"/>
      <c r="Z218" s="67"/>
      <c r="AA218" s="67"/>
      <c r="AB218" s="67"/>
      <c r="AC218" s="67"/>
      <c r="AD218" s="67"/>
      <c r="AE218" s="67"/>
      <c r="AF218" s="67"/>
      <c r="AG218" s="67"/>
      <c r="AH218" s="67"/>
      <c r="AI218" s="67"/>
      <c r="AJ218" s="67"/>
      <c r="AK218" s="67"/>
      <c r="AL218" s="67"/>
      <c r="AM218" s="67"/>
      <c r="AN218" s="67"/>
      <c r="AO218" s="67"/>
    </row>
    <row r="219" spans="3:41" x14ac:dyDescent="0.25">
      <c r="C219" s="94" t="str">
        <f t="shared" si="36"/>
        <v/>
      </c>
      <c r="D219" s="95">
        <v>25</v>
      </c>
      <c r="E219" s="96" t="str">
        <f>BUNDESLIGA!F268&amp;IF(OR(BUNDESLIGA!G268="",BUNDESLIGA!H268=""),"",IF(BUNDESLIGA!G268&gt;BUNDESLIGA!H268,"",IF(BUNDESLIGA!G268&lt;BUNDESLIGA!H268,"","")))</f>
        <v>Bor. Mönchengladbach</v>
      </c>
      <c r="F219" s="96" t="str">
        <f>BUNDESLIGA!I268&amp;IF(OR(BUNDESLIGA!G268="",BUNDESLIGA!H268=""),"",IF(BUNDESLIGA!G268&lt;BUNDESLIGA!H268,"",IF(BUNDESLIGA!G268&gt;BUNDESLIGA!H268,"","")))</f>
        <v>Borussia Dortmund</v>
      </c>
      <c r="G219" s="96" t="str">
        <f>IF(BUNDESLIGA!G268&lt;&gt;"",BUNDESLIGA!G268&amp;" - "&amp;BUNDESLIGA!H268,"")</f>
        <v/>
      </c>
      <c r="H219" s="96" t="str">
        <f t="shared" si="42"/>
        <v>Bor. Mönchengladbach-Borussia Dortmund</v>
      </c>
      <c r="I219" s="96" t="str">
        <f t="shared" si="37"/>
        <v/>
      </c>
      <c r="J219" s="97" t="str">
        <f t="shared" si="38"/>
        <v/>
      </c>
      <c r="L219" s="67" t="str">
        <f t="shared" si="39"/>
        <v/>
      </c>
      <c r="M219" s="67" t="str">
        <f t="shared" si="40"/>
        <v/>
      </c>
      <c r="O219" s="67" t="str">
        <f t="shared" si="41"/>
        <v/>
      </c>
      <c r="P219" s="67"/>
      <c r="Q219" s="67"/>
      <c r="R219" s="67"/>
      <c r="S219" s="67"/>
      <c r="T219" s="67"/>
      <c r="U219" s="67"/>
      <c r="V219" s="67"/>
      <c r="W219" s="67"/>
      <c r="X219" s="67"/>
      <c r="Y219" s="67"/>
      <c r="Z219" s="67"/>
      <c r="AA219" s="67"/>
      <c r="AB219" s="67"/>
      <c r="AC219" s="67"/>
      <c r="AD219" s="67"/>
      <c r="AE219" s="67"/>
      <c r="AF219" s="67"/>
      <c r="AG219" s="67"/>
      <c r="AH219" s="67"/>
      <c r="AI219" s="67"/>
      <c r="AJ219" s="67"/>
      <c r="AK219" s="67"/>
      <c r="AL219" s="67"/>
      <c r="AM219" s="67"/>
      <c r="AN219" s="67"/>
      <c r="AO219" s="67"/>
    </row>
    <row r="220" spans="3:41" x14ac:dyDescent="0.25">
      <c r="C220" s="94" t="str">
        <f t="shared" si="36"/>
        <v/>
      </c>
      <c r="D220" s="95">
        <v>25</v>
      </c>
      <c r="E220" s="96" t="str">
        <f>BUNDESLIGA!F269&amp;IF(OR(BUNDESLIGA!G269="",BUNDESLIGA!H269=""),"",IF(BUNDESLIGA!G269&gt;BUNDESLIGA!H269,"",IF(BUNDESLIGA!G269&lt;BUNDESLIGA!H269,"","")))</f>
        <v>VfL Wolfsburg</v>
      </c>
      <c r="F220" s="96" t="str">
        <f>BUNDESLIGA!I269&amp;IF(OR(BUNDESLIGA!G269="",BUNDESLIGA!H269=""),"",IF(BUNDESLIGA!G269&lt;BUNDESLIGA!H269,"",IF(BUNDESLIGA!G269&gt;BUNDESLIGA!H269,"","")))</f>
        <v>RB Leipzig</v>
      </c>
      <c r="G220" s="96" t="str">
        <f>IF(BUNDESLIGA!G269&lt;&gt;"",BUNDESLIGA!G269&amp;" - "&amp;BUNDESLIGA!H269,"")</f>
        <v/>
      </c>
      <c r="H220" s="96" t="str">
        <f t="shared" si="42"/>
        <v>VfL Wolfsburg-RB Leipzig</v>
      </c>
      <c r="I220" s="96" t="str">
        <f t="shared" si="37"/>
        <v/>
      </c>
      <c r="J220" s="97" t="str">
        <f t="shared" si="38"/>
        <v/>
      </c>
      <c r="L220" s="67" t="str">
        <f t="shared" si="39"/>
        <v/>
      </c>
      <c r="M220" s="67" t="str">
        <f t="shared" si="40"/>
        <v/>
      </c>
      <c r="O220" s="67" t="str">
        <f t="shared" si="41"/>
        <v/>
      </c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</row>
    <row r="221" spans="3:41" x14ac:dyDescent="0.25">
      <c r="C221" s="94" t="str">
        <f t="shared" si="36"/>
        <v/>
      </c>
      <c r="D221" s="95">
        <v>25</v>
      </c>
      <c r="E221" s="96" t="str">
        <f>BUNDESLIGA!F270&amp;IF(OR(BUNDESLIGA!G270="",BUNDESLIGA!H270=""),"",IF(BUNDESLIGA!G270&gt;BUNDESLIGA!H270,"",IF(BUNDESLIGA!G270&lt;BUNDESLIGA!H270,"","")))</f>
        <v>Bayer Leverkusen</v>
      </c>
      <c r="F221" s="96" t="str">
        <f>BUNDESLIGA!I270&amp;IF(OR(BUNDESLIGA!G270="",BUNDESLIGA!H270=""),"",IF(BUNDESLIGA!G270&lt;BUNDESLIGA!H270,"",IF(BUNDESLIGA!G270&gt;BUNDESLIGA!H270,"","")))</f>
        <v>Eintracht Frankfurt</v>
      </c>
      <c r="G221" s="96" t="str">
        <f>IF(BUNDESLIGA!G270&lt;&gt;"",BUNDESLIGA!G270&amp;" - "&amp;BUNDESLIGA!H270,"")</f>
        <v/>
      </c>
      <c r="H221" s="96" t="str">
        <f t="shared" si="42"/>
        <v>Bayer Leverkusen-Eintracht Frankfurt</v>
      </c>
      <c r="I221" s="96" t="str">
        <f t="shared" si="37"/>
        <v/>
      </c>
      <c r="J221" s="97" t="str">
        <f t="shared" si="38"/>
        <v/>
      </c>
      <c r="L221" s="67" t="str">
        <f t="shared" si="39"/>
        <v/>
      </c>
      <c r="M221" s="67" t="str">
        <f t="shared" si="40"/>
        <v/>
      </c>
      <c r="O221" s="67" t="str">
        <f t="shared" si="41"/>
        <v/>
      </c>
      <c r="P221" s="67"/>
      <c r="Q221" s="67"/>
      <c r="R221" s="67"/>
      <c r="S221" s="67"/>
      <c r="T221" s="67"/>
      <c r="U221" s="67"/>
      <c r="V221" s="67"/>
      <c r="W221" s="67"/>
      <c r="X221" s="67"/>
      <c r="Y221" s="67"/>
      <c r="Z221" s="67"/>
      <c r="AA221" s="67"/>
      <c r="AB221" s="67"/>
      <c r="AC221" s="67"/>
      <c r="AD221" s="67"/>
      <c r="AE221" s="67"/>
      <c r="AF221" s="67"/>
      <c r="AG221" s="67"/>
      <c r="AH221" s="67"/>
      <c r="AI221" s="67"/>
      <c r="AJ221" s="67"/>
      <c r="AK221" s="67"/>
      <c r="AL221" s="67"/>
      <c r="AM221" s="67"/>
      <c r="AN221" s="67"/>
      <c r="AO221" s="67"/>
    </row>
    <row r="222" spans="3:41" x14ac:dyDescent="0.25">
      <c r="C222" s="94" t="str">
        <f t="shared" si="36"/>
        <v/>
      </c>
      <c r="D222" s="95">
        <v>25</v>
      </c>
      <c r="E222" s="96" t="str">
        <f>BUNDESLIGA!F271&amp;IF(OR(BUNDESLIGA!G271="",BUNDESLIGA!H271=""),"",IF(BUNDESLIGA!G271&gt;BUNDESLIGA!H271,"",IF(BUNDESLIGA!G271&lt;BUNDESLIGA!H271,"","")))</f>
        <v>Hertha BSC</v>
      </c>
      <c r="F222" s="96" t="str">
        <f>BUNDESLIGA!I271&amp;IF(OR(BUNDESLIGA!G271="",BUNDESLIGA!H271=""),"",IF(BUNDESLIGA!G271&lt;BUNDESLIGA!H271,"",IF(BUNDESLIGA!G271&gt;BUNDESLIGA!H271,"","")))</f>
        <v>Werder Bremen</v>
      </c>
      <c r="G222" s="96" t="str">
        <f>IF(BUNDESLIGA!G271&lt;&gt;"",BUNDESLIGA!G271&amp;" - "&amp;BUNDESLIGA!H271,"")</f>
        <v/>
      </c>
      <c r="H222" s="96" t="str">
        <f t="shared" si="42"/>
        <v>Hertha BSC-Werder Bremen</v>
      </c>
      <c r="I222" s="96" t="str">
        <f t="shared" si="37"/>
        <v/>
      </c>
      <c r="J222" s="97" t="str">
        <f t="shared" si="38"/>
        <v/>
      </c>
      <c r="L222" s="67" t="str">
        <f t="shared" si="39"/>
        <v/>
      </c>
      <c r="M222" s="67" t="str">
        <f t="shared" si="40"/>
        <v/>
      </c>
      <c r="O222" s="67" t="str">
        <f t="shared" si="41"/>
        <v/>
      </c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</row>
    <row r="223" spans="3:41" x14ac:dyDescent="0.25">
      <c r="C223" s="94" t="str">
        <f t="shared" si="36"/>
        <v/>
      </c>
      <c r="D223" s="95">
        <v>25</v>
      </c>
      <c r="E223" s="96" t="str">
        <f>BUNDESLIGA!F272&amp;IF(OR(BUNDESLIGA!G272="",BUNDESLIGA!H272=""),"",IF(BUNDESLIGA!G272&gt;BUNDESLIGA!H272,"",IF(BUNDESLIGA!G272&lt;BUNDESLIGA!H272,"","")))</f>
        <v>FC Schalke 04</v>
      </c>
      <c r="F223" s="96" t="str">
        <f>BUNDESLIGA!I272&amp;IF(OR(BUNDESLIGA!G272="",BUNDESLIGA!H272=""),"",IF(BUNDESLIGA!G272&lt;BUNDESLIGA!H272,"",IF(BUNDESLIGA!G272&gt;BUNDESLIGA!H272,"","")))</f>
        <v>1899 Hoffenheim</v>
      </c>
      <c r="G223" s="96" t="str">
        <f>IF(BUNDESLIGA!G272&lt;&gt;"",BUNDESLIGA!G272&amp;" - "&amp;BUNDESLIGA!H272,"")</f>
        <v/>
      </c>
      <c r="H223" s="96" t="str">
        <f t="shared" si="42"/>
        <v>FC Schalke 04-1899 Hoffenheim</v>
      </c>
      <c r="I223" s="96" t="str">
        <f t="shared" si="37"/>
        <v/>
      </c>
      <c r="J223" s="97" t="str">
        <f t="shared" si="38"/>
        <v/>
      </c>
      <c r="L223" s="67" t="str">
        <f t="shared" si="39"/>
        <v/>
      </c>
      <c r="M223" s="67" t="str">
        <f t="shared" si="40"/>
        <v/>
      </c>
      <c r="O223" s="67" t="str">
        <f t="shared" si="41"/>
        <v/>
      </c>
      <c r="P223" s="67"/>
      <c r="Q223" s="67"/>
      <c r="R223" s="67"/>
      <c r="S223" s="67"/>
      <c r="T223" s="67"/>
      <c r="U223" s="67"/>
      <c r="V223" s="67"/>
      <c r="W223" s="67"/>
      <c r="X223" s="67"/>
      <c r="Y223" s="67"/>
      <c r="Z223" s="67"/>
      <c r="AA223" s="67"/>
      <c r="AB223" s="67"/>
      <c r="AC223" s="67"/>
      <c r="AD223" s="67"/>
      <c r="AE223" s="67"/>
      <c r="AF223" s="67"/>
      <c r="AG223" s="67"/>
      <c r="AH223" s="67"/>
      <c r="AI223" s="67"/>
      <c r="AJ223" s="67"/>
      <c r="AK223" s="67"/>
      <c r="AL223" s="67"/>
      <c r="AM223" s="67"/>
      <c r="AN223" s="67"/>
      <c r="AO223" s="67"/>
    </row>
    <row r="224" spans="3:41" x14ac:dyDescent="0.25">
      <c r="C224" s="94" t="str">
        <f t="shared" si="36"/>
        <v/>
      </c>
      <c r="D224" s="95">
        <v>25</v>
      </c>
      <c r="E224" s="96" t="str">
        <f>BUNDESLIGA!F273&amp;IF(OR(BUNDESLIGA!G273="",BUNDESLIGA!H273=""),"",IF(BUNDESLIGA!G273&gt;BUNDESLIGA!H273,"",IF(BUNDESLIGA!G273&lt;BUNDESLIGA!H273,"","")))</f>
        <v>1. FSV Mainz 05</v>
      </c>
      <c r="F224" s="96" t="str">
        <f>BUNDESLIGA!I273&amp;IF(OR(BUNDESLIGA!G273="",BUNDESLIGA!H273=""),"",IF(BUNDESLIGA!G273&lt;BUNDESLIGA!H273,"",IF(BUNDESLIGA!G273&gt;BUNDESLIGA!H273,"","")))</f>
        <v>Fortuna Düsseldorf</v>
      </c>
      <c r="G224" s="96" t="str">
        <f>IF(BUNDESLIGA!G273&lt;&gt;"",BUNDESLIGA!G273&amp;" - "&amp;BUNDESLIGA!H273,"")</f>
        <v/>
      </c>
      <c r="H224" s="96" t="str">
        <f t="shared" si="42"/>
        <v>1. FSV Mainz 05-Fortuna Düsseldorf</v>
      </c>
      <c r="I224" s="96" t="str">
        <f t="shared" si="37"/>
        <v/>
      </c>
      <c r="J224" s="97" t="str">
        <f t="shared" si="38"/>
        <v/>
      </c>
      <c r="L224" s="67" t="str">
        <f t="shared" si="39"/>
        <v/>
      </c>
      <c r="M224" s="67" t="str">
        <f t="shared" si="40"/>
        <v/>
      </c>
      <c r="O224" s="67" t="str">
        <f t="shared" si="41"/>
        <v/>
      </c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</row>
    <row r="225" spans="3:41" x14ac:dyDescent="0.25">
      <c r="C225" s="94">
        <f t="shared" si="36"/>
        <v>25</v>
      </c>
      <c r="D225" s="95">
        <v>25</v>
      </c>
      <c r="E225" s="96" t="str">
        <f>BUNDESLIGA!F274&amp;IF(OR(BUNDESLIGA!G274="",BUNDESLIGA!H274=""),"",IF(BUNDESLIGA!G274&gt;BUNDESLIGA!H274,"",IF(BUNDESLIGA!G274&lt;BUNDESLIGA!H274,"","")))</f>
        <v>Bayern München</v>
      </c>
      <c r="F225" s="96" t="str">
        <f>BUNDESLIGA!I274&amp;IF(OR(BUNDESLIGA!G274="",BUNDESLIGA!H274=""),"",IF(BUNDESLIGA!G274&lt;BUNDESLIGA!H274,"",IF(BUNDESLIGA!G274&gt;BUNDESLIGA!H274,"","")))</f>
        <v>FC Augsburg</v>
      </c>
      <c r="G225" s="96" t="str">
        <f>IF(BUNDESLIGA!G274&lt;&gt;"",BUNDESLIGA!G274&amp;" - "&amp;BUNDESLIGA!H274,"")</f>
        <v/>
      </c>
      <c r="H225" s="96" t="str">
        <f t="shared" si="42"/>
        <v>Bayern München-FC Augsburg</v>
      </c>
      <c r="I225" s="96" t="str">
        <f t="shared" si="37"/>
        <v/>
      </c>
      <c r="J225" s="97" t="str">
        <f t="shared" si="38"/>
        <v/>
      </c>
      <c r="L225" s="67" t="str">
        <f t="shared" si="39"/>
        <v/>
      </c>
      <c r="M225" s="67" t="str">
        <f t="shared" si="40"/>
        <v/>
      </c>
      <c r="O225" s="67" t="str">
        <f t="shared" si="41"/>
        <v/>
      </c>
      <c r="P225" s="67"/>
      <c r="Q225" s="67"/>
      <c r="R225" s="67"/>
      <c r="S225" s="67"/>
      <c r="T225" s="67"/>
      <c r="U225" s="67"/>
      <c r="V225" s="67"/>
      <c r="W225" s="67"/>
      <c r="X225" s="67"/>
      <c r="Y225" s="67"/>
      <c r="Z225" s="67"/>
      <c r="AA225" s="67"/>
      <c r="AB225" s="67"/>
      <c r="AC225" s="67"/>
      <c r="AD225" s="67"/>
      <c r="AE225" s="67"/>
      <c r="AF225" s="67"/>
      <c r="AG225" s="67"/>
      <c r="AH225" s="67"/>
      <c r="AI225" s="67"/>
      <c r="AJ225" s="67"/>
      <c r="AK225" s="67"/>
      <c r="AL225" s="67"/>
      <c r="AM225" s="67"/>
      <c r="AN225" s="67"/>
      <c r="AO225" s="67"/>
    </row>
    <row r="226" spans="3:41" x14ac:dyDescent="0.25">
      <c r="C226" s="94" t="str">
        <f t="shared" si="36"/>
        <v/>
      </c>
      <c r="D226" s="95">
        <v>25</v>
      </c>
      <c r="E226" s="96" t="str">
        <f>BUNDESLIGA!F275&amp;IF(OR(BUNDESLIGA!G275="",BUNDESLIGA!H275=""),"",IF(BUNDESLIGA!G275&gt;BUNDESLIGA!H275,"",IF(BUNDESLIGA!G275&lt;BUNDESLIGA!H275,"","")))</f>
        <v>SC Paderborn 07</v>
      </c>
      <c r="F226" s="96" t="str">
        <f>BUNDESLIGA!I275&amp;IF(OR(BUNDESLIGA!G275="",BUNDESLIGA!H275=""),"",IF(BUNDESLIGA!G275&lt;BUNDESLIGA!H275,"",IF(BUNDESLIGA!G275&gt;BUNDESLIGA!H275,"","")))</f>
        <v>1. FC Köln</v>
      </c>
      <c r="G226" s="96" t="str">
        <f>IF(BUNDESLIGA!G275&lt;&gt;"",BUNDESLIGA!G275&amp;" - "&amp;BUNDESLIGA!H275,"")</f>
        <v/>
      </c>
      <c r="H226" s="96" t="str">
        <f t="shared" si="42"/>
        <v>SC Paderborn 07-1. FC Köln</v>
      </c>
      <c r="I226" s="96" t="str">
        <f t="shared" si="37"/>
        <v/>
      </c>
      <c r="J226" s="97" t="str">
        <f t="shared" si="38"/>
        <v/>
      </c>
      <c r="L226" s="67" t="str">
        <f t="shared" si="39"/>
        <v/>
      </c>
      <c r="M226" s="67" t="str">
        <f t="shared" si="40"/>
        <v/>
      </c>
      <c r="O226" s="67" t="str">
        <f t="shared" si="41"/>
        <v/>
      </c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</row>
    <row r="227" spans="3:41" x14ac:dyDescent="0.25">
      <c r="C227" s="94" t="str">
        <f t="shared" si="36"/>
        <v/>
      </c>
      <c r="D227" s="95">
        <v>25</v>
      </c>
      <c r="E227" s="96" t="str">
        <f>BUNDESLIGA!F276&amp;IF(OR(BUNDESLIGA!G276="",BUNDESLIGA!H276=""),"",IF(BUNDESLIGA!G276&gt;BUNDESLIGA!H276,"",IF(BUNDESLIGA!G276&lt;BUNDESLIGA!H276,"","")))</f>
        <v>SC Freiburg</v>
      </c>
      <c r="F227" s="96" t="str">
        <f>BUNDESLIGA!I276&amp;IF(OR(BUNDESLIGA!G276="",BUNDESLIGA!H276=""),"",IF(BUNDESLIGA!G276&lt;BUNDESLIGA!H276,"",IF(BUNDESLIGA!G276&gt;BUNDESLIGA!H276,"","")))</f>
        <v>1. FC Union Berlin</v>
      </c>
      <c r="G227" s="96" t="str">
        <f>IF(BUNDESLIGA!G276&lt;&gt;"",BUNDESLIGA!G276&amp;" - "&amp;BUNDESLIGA!H276,"")</f>
        <v/>
      </c>
      <c r="H227" s="96" t="str">
        <f t="shared" si="42"/>
        <v>SC Freiburg-1. FC Union Berlin</v>
      </c>
      <c r="I227" s="96" t="str">
        <f t="shared" si="37"/>
        <v/>
      </c>
      <c r="J227" s="97" t="str">
        <f t="shared" si="38"/>
        <v/>
      </c>
      <c r="L227" s="67" t="str">
        <f t="shared" si="39"/>
        <v/>
      </c>
      <c r="M227" s="67" t="str">
        <f t="shared" si="40"/>
        <v/>
      </c>
      <c r="O227" s="67" t="str">
        <f t="shared" si="41"/>
        <v/>
      </c>
      <c r="P227" s="67"/>
      <c r="Q227" s="67"/>
      <c r="R227" s="67"/>
      <c r="S227" s="67"/>
      <c r="T227" s="67"/>
      <c r="U227" s="67"/>
      <c r="V227" s="67"/>
      <c r="W227" s="67"/>
      <c r="X227" s="67"/>
      <c r="Y227" s="67"/>
      <c r="Z227" s="67"/>
      <c r="AA227" s="67"/>
      <c r="AB227" s="67"/>
      <c r="AC227" s="67"/>
      <c r="AD227" s="67"/>
      <c r="AE227" s="67"/>
      <c r="AF227" s="67"/>
      <c r="AG227" s="67"/>
      <c r="AH227" s="67"/>
      <c r="AI227" s="67"/>
      <c r="AJ227" s="67"/>
      <c r="AK227" s="67"/>
      <c r="AL227" s="67"/>
      <c r="AM227" s="67"/>
      <c r="AN227" s="67"/>
      <c r="AO227" s="67"/>
    </row>
    <row r="228" spans="3:41" x14ac:dyDescent="0.25">
      <c r="C228" s="94" t="str">
        <f t="shared" si="36"/>
        <v/>
      </c>
      <c r="D228" s="95">
        <v>26</v>
      </c>
      <c r="E228" s="96" t="str">
        <f>BUNDESLIGA!F279&amp;IF(OR(BUNDESLIGA!G279="",BUNDESLIGA!H279=""),"",IF(BUNDESLIGA!G279&gt;BUNDESLIGA!H279,"",IF(BUNDESLIGA!G279&lt;BUNDESLIGA!H279,"","")))</f>
        <v>1. FC Union Berlin</v>
      </c>
      <c r="F228" s="96" t="str">
        <f>BUNDESLIGA!I279&amp;IF(OR(BUNDESLIGA!G279="",BUNDESLIGA!H279=""),"",IF(BUNDESLIGA!G279&lt;BUNDESLIGA!H279,"",IF(BUNDESLIGA!G279&gt;BUNDESLIGA!H279,"","")))</f>
        <v>Bayern München</v>
      </c>
      <c r="G228" s="96" t="str">
        <f>IF(BUNDESLIGA!G279&lt;&gt;"",BUNDESLIGA!G279&amp;" - "&amp;BUNDESLIGA!H279,"")</f>
        <v/>
      </c>
      <c r="H228" s="96" t="str">
        <f t="shared" si="42"/>
        <v>1. FC Union Berlin-Bayern München</v>
      </c>
      <c r="I228" s="96" t="str">
        <f t="shared" si="37"/>
        <v/>
      </c>
      <c r="J228" s="97" t="str">
        <f t="shared" si="38"/>
        <v/>
      </c>
      <c r="L228" s="67" t="str">
        <f t="shared" si="39"/>
        <v/>
      </c>
      <c r="M228" s="67" t="str">
        <f t="shared" si="40"/>
        <v/>
      </c>
      <c r="O228" s="67" t="str">
        <f t="shared" si="41"/>
        <v/>
      </c>
      <c r="P228" s="67"/>
      <c r="Q228" s="67"/>
      <c r="R228" s="67"/>
      <c r="S228" s="67"/>
      <c r="T228" s="67"/>
      <c r="U228" s="67"/>
      <c r="V228" s="67"/>
      <c r="W228" s="67"/>
      <c r="X228" s="67"/>
      <c r="Y228" s="67"/>
      <c r="Z228" s="67"/>
      <c r="AA228" s="67"/>
      <c r="AB228" s="67"/>
      <c r="AC228" s="67"/>
      <c r="AD228" s="67"/>
      <c r="AE228" s="67"/>
      <c r="AF228" s="67"/>
      <c r="AG228" s="67"/>
      <c r="AH228" s="67"/>
      <c r="AI228" s="67"/>
      <c r="AJ228" s="67"/>
      <c r="AK228" s="67"/>
      <c r="AL228" s="67"/>
      <c r="AM228" s="67"/>
      <c r="AN228" s="67"/>
      <c r="AO228" s="67"/>
    </row>
    <row r="229" spans="3:41" x14ac:dyDescent="0.25">
      <c r="C229" s="94" t="str">
        <f t="shared" si="36"/>
        <v/>
      </c>
      <c r="D229" s="95">
        <v>26</v>
      </c>
      <c r="E229" s="96" t="str">
        <f>BUNDESLIGA!F280&amp;IF(OR(BUNDESLIGA!G280="",BUNDESLIGA!H280=""),"",IF(BUNDESLIGA!G280&gt;BUNDESLIGA!H280,"",IF(BUNDESLIGA!G280&lt;BUNDESLIGA!H280,"","")))</f>
        <v>Werder Bremen</v>
      </c>
      <c r="F229" s="96" t="str">
        <f>BUNDESLIGA!I280&amp;IF(OR(BUNDESLIGA!G280="",BUNDESLIGA!H280=""),"",IF(BUNDESLIGA!G280&lt;BUNDESLIGA!H280,"",IF(BUNDESLIGA!G280&gt;BUNDESLIGA!H280,"","")))</f>
        <v>Bayer Leverkusen</v>
      </c>
      <c r="G229" s="96" t="str">
        <f>IF(BUNDESLIGA!G280&lt;&gt;"",BUNDESLIGA!G280&amp;" - "&amp;BUNDESLIGA!H280,"")</f>
        <v/>
      </c>
      <c r="H229" s="96" t="str">
        <f t="shared" si="42"/>
        <v>Werder Bremen-Bayer Leverkusen</v>
      </c>
      <c r="I229" s="96" t="str">
        <f t="shared" si="37"/>
        <v/>
      </c>
      <c r="J229" s="97" t="str">
        <f t="shared" si="38"/>
        <v/>
      </c>
      <c r="L229" s="67" t="str">
        <f t="shared" si="39"/>
        <v/>
      </c>
      <c r="M229" s="67" t="str">
        <f t="shared" si="40"/>
        <v/>
      </c>
      <c r="O229" s="67" t="str">
        <f t="shared" si="41"/>
        <v/>
      </c>
      <c r="P229" s="67"/>
      <c r="Q229" s="67"/>
      <c r="R229" s="67"/>
      <c r="S229" s="67"/>
      <c r="T229" s="67"/>
      <c r="U229" s="67"/>
      <c r="V229" s="67"/>
      <c r="W229" s="67"/>
      <c r="X229" s="67"/>
      <c r="Y229" s="67"/>
      <c r="Z229" s="67"/>
      <c r="AA229" s="67"/>
      <c r="AB229" s="67"/>
      <c r="AC229" s="67"/>
      <c r="AD229" s="67"/>
      <c r="AE229" s="67"/>
      <c r="AF229" s="67"/>
      <c r="AG229" s="67"/>
      <c r="AH229" s="67"/>
      <c r="AI229" s="67"/>
      <c r="AJ229" s="67"/>
      <c r="AK229" s="67"/>
      <c r="AL229" s="67"/>
      <c r="AM229" s="67"/>
      <c r="AN229" s="67"/>
      <c r="AO229" s="67"/>
    </row>
    <row r="230" spans="3:41" x14ac:dyDescent="0.25">
      <c r="C230" s="94" t="str">
        <f t="shared" si="36"/>
        <v/>
      </c>
      <c r="D230" s="95">
        <v>26</v>
      </c>
      <c r="E230" s="96" t="str">
        <f>BUNDESLIGA!F281&amp;IF(OR(BUNDESLIGA!G281="",BUNDESLIGA!H281=""),"",IF(BUNDESLIGA!G281&gt;BUNDESLIGA!H281,"",IF(BUNDESLIGA!G281&lt;BUNDESLIGA!H281,"","")))</f>
        <v>Eintracht Frankfurt</v>
      </c>
      <c r="F230" s="96" t="str">
        <f>BUNDESLIGA!I281&amp;IF(OR(BUNDESLIGA!G281="",BUNDESLIGA!H281=""),"",IF(BUNDESLIGA!G281&lt;BUNDESLIGA!H281,"",IF(BUNDESLIGA!G281&gt;BUNDESLIGA!H281,"","")))</f>
        <v>Bor. Mönchengladbach</v>
      </c>
      <c r="G230" s="96" t="str">
        <f>IF(BUNDESLIGA!G281&lt;&gt;"",BUNDESLIGA!G281&amp;" - "&amp;BUNDESLIGA!H281,"")</f>
        <v/>
      </c>
      <c r="H230" s="96" t="str">
        <f t="shared" si="42"/>
        <v>Eintracht Frankfurt-Bor. Mönchengladbach</v>
      </c>
      <c r="I230" s="96" t="str">
        <f t="shared" si="37"/>
        <v/>
      </c>
      <c r="J230" s="97" t="str">
        <f t="shared" si="38"/>
        <v/>
      </c>
      <c r="L230" s="67" t="str">
        <f t="shared" si="39"/>
        <v/>
      </c>
      <c r="M230" s="67" t="str">
        <f t="shared" si="40"/>
        <v/>
      </c>
      <c r="O230" s="67" t="str">
        <f t="shared" si="41"/>
        <v/>
      </c>
      <c r="P230" s="67"/>
      <c r="Q230" s="67"/>
      <c r="R230" s="67"/>
      <c r="S230" s="67"/>
      <c r="T230" s="67"/>
      <c r="U230" s="67"/>
      <c r="V230" s="67"/>
      <c r="W230" s="67"/>
      <c r="X230" s="67"/>
      <c r="Y230" s="67"/>
      <c r="Z230" s="67"/>
      <c r="AA230" s="67"/>
      <c r="AB230" s="67"/>
      <c r="AC230" s="67"/>
      <c r="AD230" s="67"/>
      <c r="AE230" s="67"/>
      <c r="AF230" s="67"/>
      <c r="AG230" s="67"/>
      <c r="AH230" s="67"/>
      <c r="AI230" s="67"/>
      <c r="AJ230" s="67"/>
      <c r="AK230" s="67"/>
      <c r="AL230" s="67"/>
      <c r="AM230" s="67"/>
      <c r="AN230" s="67"/>
      <c r="AO230" s="67"/>
    </row>
    <row r="231" spans="3:41" x14ac:dyDescent="0.25">
      <c r="C231" s="94">
        <f t="shared" si="36"/>
        <v>26</v>
      </c>
      <c r="D231" s="95">
        <v>26</v>
      </c>
      <c r="E231" s="96" t="str">
        <f>BUNDESLIGA!F282&amp;IF(OR(BUNDESLIGA!G282="",BUNDESLIGA!H282=""),"",IF(BUNDESLIGA!G282&gt;BUNDESLIGA!H282,"",IF(BUNDESLIGA!G282&lt;BUNDESLIGA!H282,"","")))</f>
        <v>FC Augsburg</v>
      </c>
      <c r="F231" s="96" t="str">
        <f>BUNDESLIGA!I282&amp;IF(OR(BUNDESLIGA!G282="",BUNDESLIGA!H282=""),"",IF(BUNDESLIGA!G282&lt;BUNDESLIGA!H282,"",IF(BUNDESLIGA!G282&gt;BUNDESLIGA!H282,"","")))</f>
        <v>VfL Wolfsburg</v>
      </c>
      <c r="G231" s="96" t="str">
        <f>IF(BUNDESLIGA!G282&lt;&gt;"",BUNDESLIGA!G282&amp;" - "&amp;BUNDESLIGA!H282,"")</f>
        <v/>
      </c>
      <c r="H231" s="96" t="str">
        <f t="shared" si="42"/>
        <v>FC Augsburg-VfL Wolfsburg</v>
      </c>
      <c r="I231" s="96" t="str">
        <f t="shared" si="37"/>
        <v/>
      </c>
      <c r="J231" s="97" t="str">
        <f t="shared" si="38"/>
        <v/>
      </c>
      <c r="L231" s="67" t="str">
        <f t="shared" si="39"/>
        <v/>
      </c>
      <c r="M231" s="67" t="str">
        <f t="shared" si="40"/>
        <v/>
      </c>
      <c r="O231" s="67" t="str">
        <f t="shared" si="41"/>
        <v/>
      </c>
      <c r="P231" s="67"/>
      <c r="Q231" s="67"/>
      <c r="R231" s="67"/>
      <c r="S231" s="67"/>
      <c r="T231" s="67"/>
      <c r="U231" s="67"/>
      <c r="V231" s="67"/>
      <c r="W231" s="67"/>
      <c r="X231" s="67"/>
      <c r="Y231" s="67"/>
      <c r="Z231" s="67"/>
      <c r="AA231" s="67"/>
      <c r="AB231" s="67"/>
      <c r="AC231" s="67"/>
      <c r="AD231" s="67"/>
      <c r="AE231" s="67"/>
      <c r="AF231" s="67"/>
      <c r="AG231" s="67"/>
      <c r="AH231" s="67"/>
      <c r="AI231" s="67"/>
      <c r="AJ231" s="67"/>
      <c r="AK231" s="67"/>
      <c r="AL231" s="67"/>
      <c r="AM231" s="67"/>
      <c r="AN231" s="67"/>
      <c r="AO231" s="67"/>
    </row>
    <row r="232" spans="3:41" x14ac:dyDescent="0.25">
      <c r="C232" s="94" t="str">
        <f t="shared" si="36"/>
        <v/>
      </c>
      <c r="D232" s="95">
        <v>26</v>
      </c>
      <c r="E232" s="96" t="str">
        <f>BUNDESLIGA!F283&amp;IF(OR(BUNDESLIGA!G283="",BUNDESLIGA!H283=""),"",IF(BUNDESLIGA!G283&gt;BUNDESLIGA!H283,"",IF(BUNDESLIGA!G283&lt;BUNDESLIGA!H283,"","")))</f>
        <v>1899 Hoffenheim</v>
      </c>
      <c r="F232" s="96" t="str">
        <f>BUNDESLIGA!I283&amp;IF(OR(BUNDESLIGA!G283="",BUNDESLIGA!H283=""),"",IF(BUNDESLIGA!G283&lt;BUNDESLIGA!H283,"",IF(BUNDESLIGA!G283&gt;BUNDESLIGA!H283,"","")))</f>
        <v>Hertha BSC</v>
      </c>
      <c r="G232" s="96" t="str">
        <f>IF(BUNDESLIGA!G283&lt;&gt;"",BUNDESLIGA!G283&amp;" - "&amp;BUNDESLIGA!H283,"")</f>
        <v/>
      </c>
      <c r="H232" s="96" t="str">
        <f t="shared" si="42"/>
        <v>1899 Hoffenheim-Hertha BSC</v>
      </c>
      <c r="I232" s="96" t="str">
        <f t="shared" si="37"/>
        <v/>
      </c>
      <c r="J232" s="97" t="str">
        <f t="shared" si="38"/>
        <v/>
      </c>
      <c r="L232" s="67" t="str">
        <f t="shared" si="39"/>
        <v/>
      </c>
      <c r="M232" s="67" t="str">
        <f t="shared" si="40"/>
        <v/>
      </c>
      <c r="O232" s="67" t="str">
        <f t="shared" si="41"/>
        <v/>
      </c>
      <c r="P232" s="67"/>
      <c r="Q232" s="67"/>
      <c r="R232" s="67"/>
      <c r="S232" s="67"/>
      <c r="T232" s="67"/>
      <c r="U232" s="67"/>
      <c r="V232" s="67"/>
      <c r="W232" s="67"/>
      <c r="X232" s="67"/>
      <c r="Y232" s="67"/>
      <c r="Z232" s="67"/>
      <c r="AA232" s="67"/>
      <c r="AB232" s="67"/>
      <c r="AC232" s="67"/>
      <c r="AD232" s="67"/>
      <c r="AE232" s="67"/>
      <c r="AF232" s="67"/>
      <c r="AG232" s="67"/>
      <c r="AH232" s="67"/>
      <c r="AI232" s="67"/>
      <c r="AJ232" s="67"/>
      <c r="AK232" s="67"/>
      <c r="AL232" s="67"/>
      <c r="AM232" s="67"/>
      <c r="AN232" s="67"/>
      <c r="AO232" s="67"/>
    </row>
    <row r="233" spans="3:41" x14ac:dyDescent="0.25">
      <c r="C233" s="94" t="str">
        <f t="shared" si="36"/>
        <v/>
      </c>
      <c r="D233" s="95">
        <v>26</v>
      </c>
      <c r="E233" s="96" t="str">
        <f>BUNDESLIGA!F284&amp;IF(OR(BUNDESLIGA!G284="",BUNDESLIGA!H284=""),"",IF(BUNDESLIGA!G284&gt;BUNDESLIGA!H284,"",IF(BUNDESLIGA!G284&lt;BUNDESLIGA!H284,"","")))</f>
        <v>1. FC Köln</v>
      </c>
      <c r="F233" s="96" t="str">
        <f>BUNDESLIGA!I284&amp;IF(OR(BUNDESLIGA!G284="",BUNDESLIGA!H284=""),"",IF(BUNDESLIGA!G284&lt;BUNDESLIGA!H284,"",IF(BUNDESLIGA!G284&gt;BUNDESLIGA!H284,"","")))</f>
        <v>1. FSV Mainz 05</v>
      </c>
      <c r="G233" s="96" t="str">
        <f>IF(BUNDESLIGA!G284&lt;&gt;"",BUNDESLIGA!G284&amp;" - "&amp;BUNDESLIGA!H284,"")</f>
        <v/>
      </c>
      <c r="H233" s="96" t="str">
        <f t="shared" si="42"/>
        <v>1. FC Köln-1. FSV Mainz 05</v>
      </c>
      <c r="I233" s="96" t="str">
        <f t="shared" si="37"/>
        <v/>
      </c>
      <c r="J233" s="97" t="str">
        <f t="shared" si="38"/>
        <v/>
      </c>
      <c r="L233" s="67" t="str">
        <f t="shared" si="39"/>
        <v/>
      </c>
      <c r="M233" s="67" t="str">
        <f t="shared" si="40"/>
        <v/>
      </c>
      <c r="O233" s="67" t="str">
        <f t="shared" si="41"/>
        <v/>
      </c>
      <c r="P233" s="67"/>
      <c r="Q233" s="67"/>
      <c r="R233" s="67"/>
      <c r="S233" s="67"/>
      <c r="T233" s="67"/>
      <c r="U233" s="67"/>
      <c r="V233" s="67"/>
      <c r="W233" s="67"/>
      <c r="X233" s="67"/>
      <c r="Y233" s="67"/>
      <c r="Z233" s="67"/>
      <c r="AA233" s="67"/>
      <c r="AB233" s="67"/>
      <c r="AC233" s="67"/>
      <c r="AD233" s="67"/>
      <c r="AE233" s="67"/>
      <c r="AF233" s="67"/>
      <c r="AG233" s="67"/>
      <c r="AH233" s="67"/>
      <c r="AI233" s="67"/>
      <c r="AJ233" s="67"/>
      <c r="AK233" s="67"/>
      <c r="AL233" s="67"/>
      <c r="AM233" s="67"/>
      <c r="AN233" s="67"/>
      <c r="AO233" s="67"/>
    </row>
    <row r="234" spans="3:41" x14ac:dyDescent="0.25">
      <c r="C234" s="94" t="str">
        <f t="shared" si="36"/>
        <v/>
      </c>
      <c r="D234" s="95">
        <v>26</v>
      </c>
      <c r="E234" s="96" t="str">
        <f>BUNDESLIGA!F285&amp;IF(OR(BUNDESLIGA!G285="",BUNDESLIGA!H285=""),"",IF(BUNDESLIGA!G285&gt;BUNDESLIGA!H285,"",IF(BUNDESLIGA!G285&lt;BUNDESLIGA!H285,"","")))</f>
        <v>RB Leipzig</v>
      </c>
      <c r="F234" s="96" t="str">
        <f>BUNDESLIGA!I285&amp;IF(OR(BUNDESLIGA!G285="",BUNDESLIGA!H285=""),"",IF(BUNDESLIGA!G285&lt;BUNDESLIGA!H285,"",IF(BUNDESLIGA!G285&gt;BUNDESLIGA!H285,"","")))</f>
        <v>SC Freiburg</v>
      </c>
      <c r="G234" s="96" t="str">
        <f>IF(BUNDESLIGA!G285&lt;&gt;"",BUNDESLIGA!G285&amp;" - "&amp;BUNDESLIGA!H285,"")</f>
        <v/>
      </c>
      <c r="H234" s="96" t="str">
        <f t="shared" si="42"/>
        <v>RB Leipzig-SC Freiburg</v>
      </c>
      <c r="I234" s="96" t="str">
        <f t="shared" si="37"/>
        <v/>
      </c>
      <c r="J234" s="97" t="str">
        <f t="shared" si="38"/>
        <v/>
      </c>
      <c r="L234" s="67" t="str">
        <f t="shared" si="39"/>
        <v/>
      </c>
      <c r="M234" s="67" t="str">
        <f t="shared" si="40"/>
        <v/>
      </c>
      <c r="O234" s="67" t="str">
        <f t="shared" si="41"/>
        <v/>
      </c>
      <c r="P234" s="67"/>
      <c r="Q234" s="67"/>
      <c r="R234" s="67"/>
      <c r="S234" s="67"/>
      <c r="T234" s="67"/>
      <c r="U234" s="67"/>
      <c r="V234" s="67"/>
      <c r="W234" s="67"/>
      <c r="X234" s="67"/>
      <c r="Y234" s="67"/>
      <c r="Z234" s="67"/>
      <c r="AA234" s="67"/>
      <c r="AB234" s="67"/>
      <c r="AC234" s="67"/>
      <c r="AD234" s="67"/>
      <c r="AE234" s="67"/>
      <c r="AF234" s="67"/>
      <c r="AG234" s="67"/>
      <c r="AH234" s="67"/>
      <c r="AI234" s="67"/>
      <c r="AJ234" s="67"/>
      <c r="AK234" s="67"/>
      <c r="AL234" s="67"/>
      <c r="AM234" s="67"/>
      <c r="AN234" s="67"/>
      <c r="AO234" s="67"/>
    </row>
    <row r="235" spans="3:41" x14ac:dyDescent="0.25">
      <c r="C235" s="94" t="str">
        <f t="shared" si="36"/>
        <v/>
      </c>
      <c r="D235" s="95">
        <v>26</v>
      </c>
      <c r="E235" s="96" t="str">
        <f>BUNDESLIGA!F286&amp;IF(OR(BUNDESLIGA!G286="",BUNDESLIGA!H286=""),"",IF(BUNDESLIGA!G286&gt;BUNDESLIGA!H286,"",IF(BUNDESLIGA!G286&lt;BUNDESLIGA!H286,"","")))</f>
        <v>Borussia Dortmund</v>
      </c>
      <c r="F235" s="96" t="str">
        <f>BUNDESLIGA!I286&amp;IF(OR(BUNDESLIGA!G286="",BUNDESLIGA!H286=""),"",IF(BUNDESLIGA!G286&lt;BUNDESLIGA!H286,"",IF(BUNDESLIGA!G286&gt;BUNDESLIGA!H286,"","")))</f>
        <v>FC Schalke 04</v>
      </c>
      <c r="G235" s="96" t="str">
        <f>IF(BUNDESLIGA!G286&lt;&gt;"",BUNDESLIGA!G286&amp;" - "&amp;BUNDESLIGA!H286,"")</f>
        <v/>
      </c>
      <c r="H235" s="96" t="str">
        <f t="shared" si="42"/>
        <v>Borussia Dortmund-FC Schalke 04</v>
      </c>
      <c r="I235" s="96" t="str">
        <f t="shared" si="37"/>
        <v/>
      </c>
      <c r="J235" s="97" t="str">
        <f t="shared" si="38"/>
        <v/>
      </c>
      <c r="L235" s="67" t="str">
        <f t="shared" si="39"/>
        <v/>
      </c>
      <c r="M235" s="67" t="str">
        <f t="shared" si="40"/>
        <v/>
      </c>
      <c r="O235" s="67" t="str">
        <f t="shared" si="41"/>
        <v/>
      </c>
      <c r="P235" s="67"/>
      <c r="Q235" s="67"/>
      <c r="R235" s="67"/>
      <c r="S235" s="67"/>
      <c r="T235" s="67"/>
      <c r="U235" s="67"/>
      <c r="V235" s="67"/>
      <c r="W235" s="67"/>
      <c r="X235" s="67"/>
      <c r="Y235" s="67"/>
      <c r="Z235" s="67"/>
      <c r="AA235" s="67"/>
      <c r="AB235" s="67"/>
      <c r="AC235" s="67"/>
      <c r="AD235" s="67"/>
      <c r="AE235" s="67"/>
      <c r="AF235" s="67"/>
      <c r="AG235" s="67"/>
      <c r="AH235" s="67"/>
      <c r="AI235" s="67"/>
      <c r="AJ235" s="67"/>
      <c r="AK235" s="67"/>
      <c r="AL235" s="67"/>
      <c r="AM235" s="67"/>
      <c r="AN235" s="67"/>
      <c r="AO235" s="67"/>
    </row>
    <row r="236" spans="3:41" x14ac:dyDescent="0.25">
      <c r="C236" s="94" t="str">
        <f t="shared" si="36"/>
        <v/>
      </c>
      <c r="D236" s="95">
        <v>26</v>
      </c>
      <c r="E236" s="96" t="str">
        <f>BUNDESLIGA!F287&amp;IF(OR(BUNDESLIGA!G287="",BUNDESLIGA!H287=""),"",IF(BUNDESLIGA!G287&gt;BUNDESLIGA!H287,"",IF(BUNDESLIGA!G287&lt;BUNDESLIGA!H287,"","")))</f>
        <v>Fortuna Düsseldorf</v>
      </c>
      <c r="F236" s="96" t="str">
        <f>BUNDESLIGA!I287&amp;IF(OR(BUNDESLIGA!G287="",BUNDESLIGA!H287=""),"",IF(BUNDESLIGA!G287&lt;BUNDESLIGA!H287,"",IF(BUNDESLIGA!G287&gt;BUNDESLIGA!H287,"","")))</f>
        <v>SC Paderborn 07</v>
      </c>
      <c r="G236" s="96" t="str">
        <f>IF(BUNDESLIGA!G287&lt;&gt;"",BUNDESLIGA!G287&amp;" - "&amp;BUNDESLIGA!H287,"")</f>
        <v/>
      </c>
      <c r="H236" s="96" t="str">
        <f t="shared" si="42"/>
        <v>Fortuna Düsseldorf-SC Paderborn 07</v>
      </c>
      <c r="I236" s="96" t="str">
        <f t="shared" si="37"/>
        <v/>
      </c>
      <c r="J236" s="97" t="str">
        <f t="shared" si="38"/>
        <v/>
      </c>
      <c r="L236" s="67" t="str">
        <f t="shared" si="39"/>
        <v/>
      </c>
      <c r="M236" s="67" t="str">
        <f t="shared" si="40"/>
        <v/>
      </c>
      <c r="O236" s="67" t="str">
        <f t="shared" si="41"/>
        <v/>
      </c>
      <c r="P236" s="67"/>
      <c r="Q236" s="67"/>
      <c r="R236" s="67"/>
      <c r="S236" s="67"/>
      <c r="T236" s="67"/>
      <c r="U236" s="67"/>
      <c r="V236" s="67"/>
      <c r="W236" s="67"/>
      <c r="X236" s="67"/>
      <c r="Y236" s="67"/>
      <c r="Z236" s="67"/>
      <c r="AA236" s="67"/>
      <c r="AB236" s="67"/>
      <c r="AC236" s="67"/>
      <c r="AD236" s="67"/>
      <c r="AE236" s="67"/>
      <c r="AF236" s="67"/>
      <c r="AG236" s="67"/>
      <c r="AH236" s="67"/>
      <c r="AI236" s="67"/>
      <c r="AJ236" s="67"/>
      <c r="AK236" s="67"/>
      <c r="AL236" s="67"/>
      <c r="AM236" s="67"/>
      <c r="AN236" s="67"/>
      <c r="AO236" s="67"/>
    </row>
    <row r="237" spans="3:41" x14ac:dyDescent="0.25">
      <c r="C237" s="94" t="str">
        <f t="shared" si="36"/>
        <v/>
      </c>
      <c r="D237" s="95">
        <v>27</v>
      </c>
      <c r="E237" s="96" t="str">
        <f>BUNDESLIGA!F290&amp;IF(OR(BUNDESLIGA!G290="",BUNDESLIGA!H290=""),"",IF(BUNDESLIGA!G290&gt;BUNDESLIGA!H290,"",IF(BUNDESLIGA!G290&lt;BUNDESLIGA!H290,"","")))</f>
        <v>VfL Wolfsburg</v>
      </c>
      <c r="F237" s="96" t="str">
        <f>BUNDESLIGA!I290&amp;IF(OR(BUNDESLIGA!G290="",BUNDESLIGA!H290=""),"",IF(BUNDESLIGA!G290&lt;BUNDESLIGA!H290,"",IF(BUNDESLIGA!G290&gt;BUNDESLIGA!H290,"","")))</f>
        <v>Borussia Dortmund</v>
      </c>
      <c r="G237" s="96" t="str">
        <f>IF(BUNDESLIGA!G290&lt;&gt;"",BUNDESLIGA!G290&amp;" - "&amp;BUNDESLIGA!H290,"")</f>
        <v/>
      </c>
      <c r="H237" s="96" t="str">
        <f t="shared" si="42"/>
        <v>VfL Wolfsburg-Borussia Dortmund</v>
      </c>
      <c r="I237" s="96" t="str">
        <f t="shared" si="37"/>
        <v/>
      </c>
      <c r="J237" s="97" t="str">
        <f t="shared" si="38"/>
        <v/>
      </c>
      <c r="L237" s="67" t="str">
        <f t="shared" si="39"/>
        <v/>
      </c>
      <c r="M237" s="67" t="str">
        <f t="shared" si="40"/>
        <v/>
      </c>
      <c r="O237" s="67" t="str">
        <f t="shared" si="41"/>
        <v/>
      </c>
      <c r="P237" s="67"/>
      <c r="Q237" s="67"/>
      <c r="R237" s="67"/>
      <c r="S237" s="67"/>
      <c r="T237" s="67"/>
      <c r="U237" s="67"/>
      <c r="V237" s="67"/>
      <c r="W237" s="67"/>
      <c r="X237" s="67"/>
      <c r="Y237" s="67"/>
      <c r="Z237" s="67"/>
      <c r="AA237" s="67"/>
      <c r="AB237" s="67"/>
      <c r="AC237" s="67"/>
      <c r="AD237" s="67"/>
      <c r="AE237" s="67"/>
      <c r="AF237" s="67"/>
      <c r="AG237" s="67"/>
      <c r="AH237" s="67"/>
      <c r="AI237" s="67"/>
      <c r="AJ237" s="67"/>
      <c r="AK237" s="67"/>
      <c r="AL237" s="67"/>
      <c r="AM237" s="67"/>
      <c r="AN237" s="67"/>
      <c r="AO237" s="67"/>
    </row>
    <row r="238" spans="3:41" x14ac:dyDescent="0.25">
      <c r="C238" s="94" t="str">
        <f t="shared" si="36"/>
        <v/>
      </c>
      <c r="D238" s="95">
        <v>27</v>
      </c>
      <c r="E238" s="96" t="str">
        <f>BUNDESLIGA!F291&amp;IF(OR(BUNDESLIGA!G291="",BUNDESLIGA!H291=""),"",IF(BUNDESLIGA!G291&gt;BUNDESLIGA!H291,"",IF(BUNDESLIGA!G291&lt;BUNDESLIGA!H291,"","")))</f>
        <v>1. FSV Mainz 05</v>
      </c>
      <c r="F238" s="96" t="str">
        <f>BUNDESLIGA!I291&amp;IF(OR(BUNDESLIGA!G291="",BUNDESLIGA!H291=""),"",IF(BUNDESLIGA!G291&lt;BUNDESLIGA!H291,"",IF(BUNDESLIGA!G291&gt;BUNDESLIGA!H291,"","")))</f>
        <v>RB Leipzig</v>
      </c>
      <c r="G238" s="96" t="str">
        <f>IF(BUNDESLIGA!G291&lt;&gt;"",BUNDESLIGA!G291&amp;" - "&amp;BUNDESLIGA!H291,"")</f>
        <v/>
      </c>
      <c r="H238" s="96" t="str">
        <f t="shared" si="42"/>
        <v>1. FSV Mainz 05-RB Leipzig</v>
      </c>
      <c r="I238" s="96" t="str">
        <f t="shared" si="37"/>
        <v/>
      </c>
      <c r="J238" s="97" t="str">
        <f t="shared" si="38"/>
        <v/>
      </c>
      <c r="L238" s="67" t="str">
        <f t="shared" si="39"/>
        <v/>
      </c>
      <c r="M238" s="67" t="str">
        <f t="shared" si="40"/>
        <v/>
      </c>
      <c r="O238" s="67" t="str">
        <f t="shared" si="41"/>
        <v/>
      </c>
      <c r="P238" s="67"/>
      <c r="Q238" s="67"/>
      <c r="R238" s="67"/>
      <c r="S238" s="67"/>
      <c r="T238" s="67"/>
      <c r="U238" s="67"/>
      <c r="V238" s="67"/>
      <c r="W238" s="67"/>
      <c r="X238" s="67"/>
      <c r="Y238" s="67"/>
      <c r="Z238" s="67"/>
      <c r="AA238" s="67"/>
      <c r="AB238" s="67"/>
      <c r="AC238" s="67"/>
      <c r="AD238" s="67"/>
      <c r="AE238" s="67"/>
      <c r="AF238" s="67"/>
      <c r="AG238" s="67"/>
      <c r="AH238" s="67"/>
      <c r="AI238" s="67"/>
      <c r="AJ238" s="67"/>
      <c r="AK238" s="67"/>
      <c r="AL238" s="67"/>
      <c r="AM238" s="67"/>
      <c r="AN238" s="67"/>
      <c r="AO238" s="67"/>
    </row>
    <row r="239" spans="3:41" x14ac:dyDescent="0.25">
      <c r="C239" s="94" t="str">
        <f t="shared" si="36"/>
        <v/>
      </c>
      <c r="D239" s="95">
        <v>27</v>
      </c>
      <c r="E239" s="96" t="str">
        <f>BUNDESLIGA!F292&amp;IF(OR(BUNDESLIGA!G292="",BUNDESLIGA!H292=""),"",IF(BUNDESLIGA!G292&gt;BUNDESLIGA!H292,"",IF(BUNDESLIGA!G292&lt;BUNDESLIGA!H292,"","")))</f>
        <v>Bor. Mönchengladbach</v>
      </c>
      <c r="F239" s="96" t="str">
        <f>BUNDESLIGA!I292&amp;IF(OR(BUNDESLIGA!G292="",BUNDESLIGA!H292=""),"",IF(BUNDESLIGA!G292&lt;BUNDESLIGA!H292,"",IF(BUNDESLIGA!G292&gt;BUNDESLIGA!H292,"","")))</f>
        <v>Bayer Leverkusen</v>
      </c>
      <c r="G239" s="96" t="str">
        <f>IF(BUNDESLIGA!G292&lt;&gt;"",BUNDESLIGA!G292&amp;" - "&amp;BUNDESLIGA!H292,"")</f>
        <v/>
      </c>
      <c r="H239" s="96" t="str">
        <f t="shared" si="42"/>
        <v>Bor. Mönchengladbach-Bayer Leverkusen</v>
      </c>
      <c r="I239" s="96" t="str">
        <f t="shared" si="37"/>
        <v/>
      </c>
      <c r="J239" s="97" t="str">
        <f t="shared" si="38"/>
        <v/>
      </c>
      <c r="L239" s="67" t="str">
        <f t="shared" si="39"/>
        <v/>
      </c>
      <c r="M239" s="67" t="str">
        <f t="shared" si="40"/>
        <v/>
      </c>
      <c r="O239" s="67" t="str">
        <f t="shared" si="41"/>
        <v/>
      </c>
      <c r="P239" s="67"/>
      <c r="Q239" s="67"/>
      <c r="R239" s="67"/>
      <c r="S239" s="67"/>
      <c r="T239" s="67"/>
      <c r="U239" s="67"/>
      <c r="V239" s="67"/>
      <c r="W239" s="67"/>
      <c r="X239" s="67"/>
      <c r="Y239" s="67"/>
      <c r="Z239" s="67"/>
      <c r="AA239" s="67"/>
      <c r="AB239" s="67"/>
      <c r="AC239" s="67"/>
      <c r="AD239" s="67"/>
      <c r="AE239" s="67"/>
      <c r="AF239" s="67"/>
      <c r="AG239" s="67"/>
      <c r="AH239" s="67"/>
      <c r="AI239" s="67"/>
      <c r="AJ239" s="67"/>
      <c r="AK239" s="67"/>
      <c r="AL239" s="67"/>
      <c r="AM239" s="67"/>
      <c r="AN239" s="67"/>
      <c r="AO239" s="67"/>
    </row>
    <row r="240" spans="3:41" x14ac:dyDescent="0.25">
      <c r="C240" s="94" t="str">
        <f t="shared" si="36"/>
        <v/>
      </c>
      <c r="D240" s="95">
        <v>27</v>
      </c>
      <c r="E240" s="96" t="str">
        <f>BUNDESLIGA!F293&amp;IF(OR(BUNDESLIGA!G293="",BUNDESLIGA!H293=""),"",IF(BUNDESLIGA!G293&gt;BUNDESLIGA!H293,"",IF(BUNDESLIGA!G293&lt;BUNDESLIGA!H293,"","")))</f>
        <v>Bayern München</v>
      </c>
      <c r="F240" s="96" t="str">
        <f>BUNDESLIGA!I293&amp;IF(OR(BUNDESLIGA!G293="",BUNDESLIGA!H293=""),"",IF(BUNDESLIGA!G293&lt;BUNDESLIGA!H293,"",IF(BUNDESLIGA!G293&gt;BUNDESLIGA!H293,"","")))</f>
        <v>Eintracht Frankfurt</v>
      </c>
      <c r="G240" s="96" t="str">
        <f>IF(BUNDESLIGA!G293&lt;&gt;"",BUNDESLIGA!G293&amp;" - "&amp;BUNDESLIGA!H293,"")</f>
        <v/>
      </c>
      <c r="H240" s="96" t="str">
        <f t="shared" si="42"/>
        <v>Bayern München-Eintracht Frankfurt</v>
      </c>
      <c r="I240" s="96" t="str">
        <f t="shared" si="37"/>
        <v/>
      </c>
      <c r="J240" s="97" t="str">
        <f t="shared" si="38"/>
        <v/>
      </c>
      <c r="L240" s="67" t="str">
        <f t="shared" si="39"/>
        <v/>
      </c>
      <c r="M240" s="67" t="str">
        <f t="shared" si="40"/>
        <v/>
      </c>
      <c r="O240" s="67" t="str">
        <f t="shared" si="41"/>
        <v/>
      </c>
      <c r="P240" s="67"/>
      <c r="Q240" s="67"/>
      <c r="R240" s="67"/>
      <c r="S240" s="67"/>
      <c r="T240" s="67"/>
      <c r="U240" s="67"/>
      <c r="V240" s="67"/>
      <c r="W240" s="67"/>
      <c r="X240" s="67"/>
      <c r="Y240" s="67"/>
      <c r="Z240" s="67"/>
      <c r="AA240" s="67"/>
      <c r="AB240" s="67"/>
      <c r="AC240" s="67"/>
      <c r="AD240" s="67"/>
      <c r="AE240" s="67"/>
      <c r="AF240" s="67"/>
      <c r="AG240" s="67"/>
      <c r="AH240" s="67"/>
      <c r="AI240" s="67"/>
      <c r="AJ240" s="67"/>
      <c r="AK240" s="67"/>
      <c r="AL240" s="67"/>
      <c r="AM240" s="67"/>
      <c r="AN240" s="67"/>
      <c r="AO240" s="67"/>
    </row>
    <row r="241" spans="3:41" x14ac:dyDescent="0.25">
      <c r="C241" s="94" t="str">
        <f t="shared" si="36"/>
        <v/>
      </c>
      <c r="D241" s="95">
        <v>27</v>
      </c>
      <c r="E241" s="96" t="str">
        <f>BUNDESLIGA!F294&amp;IF(OR(BUNDESLIGA!G294="",BUNDESLIGA!H294=""),"",IF(BUNDESLIGA!G294&gt;BUNDESLIGA!H294,"",IF(BUNDESLIGA!G294&lt;BUNDESLIGA!H294,"","")))</f>
        <v>SC Freiburg</v>
      </c>
      <c r="F241" s="96" t="str">
        <f>BUNDESLIGA!I294&amp;IF(OR(BUNDESLIGA!G294="",BUNDESLIGA!H294=""),"",IF(BUNDESLIGA!G294&lt;BUNDESLIGA!H294,"",IF(BUNDESLIGA!G294&gt;BUNDESLIGA!H294,"","")))</f>
        <v>Werder Bremen</v>
      </c>
      <c r="G241" s="96" t="str">
        <f>IF(BUNDESLIGA!G294&lt;&gt;"",BUNDESLIGA!G294&amp;" - "&amp;BUNDESLIGA!H294,"")</f>
        <v/>
      </c>
      <c r="H241" s="96" t="str">
        <f t="shared" si="42"/>
        <v>SC Freiburg-Werder Bremen</v>
      </c>
      <c r="I241" s="96" t="str">
        <f t="shared" si="37"/>
        <v/>
      </c>
      <c r="J241" s="97" t="str">
        <f t="shared" si="38"/>
        <v/>
      </c>
      <c r="L241" s="67" t="str">
        <f t="shared" si="39"/>
        <v/>
      </c>
      <c r="M241" s="67" t="str">
        <f t="shared" si="40"/>
        <v/>
      </c>
      <c r="O241" s="67" t="str">
        <f t="shared" si="41"/>
        <v/>
      </c>
      <c r="P241" s="67"/>
      <c r="Q241" s="67"/>
      <c r="R241" s="67"/>
      <c r="S241" s="67"/>
      <c r="T241" s="67"/>
      <c r="U241" s="67"/>
      <c r="V241" s="67"/>
      <c r="W241" s="67"/>
      <c r="X241" s="67"/>
      <c r="Y241" s="67"/>
      <c r="Z241" s="67"/>
      <c r="AA241" s="67"/>
      <c r="AB241" s="67"/>
      <c r="AC241" s="67"/>
      <c r="AD241" s="67"/>
      <c r="AE241" s="67"/>
      <c r="AF241" s="67"/>
      <c r="AG241" s="67"/>
      <c r="AH241" s="67"/>
      <c r="AI241" s="67"/>
      <c r="AJ241" s="67"/>
      <c r="AK241" s="67"/>
      <c r="AL241" s="67"/>
      <c r="AM241" s="67"/>
      <c r="AN241" s="67"/>
      <c r="AO241" s="67"/>
    </row>
    <row r="242" spans="3:41" x14ac:dyDescent="0.25">
      <c r="C242" s="94" t="str">
        <f t="shared" si="36"/>
        <v/>
      </c>
      <c r="D242" s="95">
        <v>27</v>
      </c>
      <c r="E242" s="96" t="str">
        <f>BUNDESLIGA!F295&amp;IF(OR(BUNDESLIGA!G295="",BUNDESLIGA!H295=""),"",IF(BUNDESLIGA!G295&gt;BUNDESLIGA!H295,"",IF(BUNDESLIGA!G295&lt;BUNDESLIGA!H295,"","")))</f>
        <v>SC Paderborn 07</v>
      </c>
      <c r="F242" s="96" t="str">
        <f>BUNDESLIGA!I295&amp;IF(OR(BUNDESLIGA!G295="",BUNDESLIGA!H295=""),"",IF(BUNDESLIGA!G295&lt;BUNDESLIGA!H295,"",IF(BUNDESLIGA!G295&gt;BUNDESLIGA!H295,"","")))</f>
        <v>1899 Hoffenheim</v>
      </c>
      <c r="G242" s="96" t="str">
        <f>IF(BUNDESLIGA!G295&lt;&gt;"",BUNDESLIGA!G295&amp;" - "&amp;BUNDESLIGA!H295,"")</f>
        <v/>
      </c>
      <c r="H242" s="96" t="str">
        <f t="shared" si="42"/>
        <v>SC Paderborn 07-1899 Hoffenheim</v>
      </c>
      <c r="I242" s="96" t="str">
        <f t="shared" si="37"/>
        <v/>
      </c>
      <c r="J242" s="97" t="str">
        <f t="shared" si="38"/>
        <v/>
      </c>
      <c r="L242" s="67" t="str">
        <f t="shared" si="39"/>
        <v/>
      </c>
      <c r="M242" s="67" t="str">
        <f t="shared" si="40"/>
        <v/>
      </c>
      <c r="O242" s="67" t="str">
        <f t="shared" si="41"/>
        <v/>
      </c>
      <c r="P242" s="67"/>
      <c r="Q242" s="67"/>
      <c r="R242" s="67"/>
      <c r="S242" s="67"/>
      <c r="T242" s="67"/>
      <c r="U242" s="67"/>
      <c r="V242" s="67"/>
      <c r="W242" s="67"/>
      <c r="X242" s="67"/>
      <c r="Y242" s="67"/>
      <c r="Z242" s="67"/>
      <c r="AA242" s="67"/>
      <c r="AB242" s="67"/>
      <c r="AC242" s="67"/>
      <c r="AD242" s="67"/>
      <c r="AE242" s="67"/>
      <c r="AF242" s="67"/>
      <c r="AG242" s="67"/>
      <c r="AH242" s="67"/>
      <c r="AI242" s="67"/>
      <c r="AJ242" s="67"/>
      <c r="AK242" s="67"/>
      <c r="AL242" s="67"/>
      <c r="AM242" s="67"/>
      <c r="AN242" s="67"/>
      <c r="AO242" s="67"/>
    </row>
    <row r="243" spans="3:41" x14ac:dyDescent="0.25">
      <c r="C243" s="94" t="str">
        <f t="shared" si="36"/>
        <v/>
      </c>
      <c r="D243" s="95">
        <v>27</v>
      </c>
      <c r="E243" s="96" t="str">
        <f>BUNDESLIGA!F296&amp;IF(OR(BUNDESLIGA!G296="",BUNDESLIGA!H296=""),"",IF(BUNDESLIGA!G296&gt;BUNDESLIGA!H296,"",IF(BUNDESLIGA!G296&lt;BUNDESLIGA!H296,"","")))</f>
        <v>1. FC Köln</v>
      </c>
      <c r="F243" s="96" t="str">
        <f>BUNDESLIGA!I296&amp;IF(OR(BUNDESLIGA!G296="",BUNDESLIGA!H296=""),"",IF(BUNDESLIGA!G296&lt;BUNDESLIGA!H296,"",IF(BUNDESLIGA!G296&gt;BUNDESLIGA!H296,"","")))</f>
        <v>Fortuna Düsseldorf</v>
      </c>
      <c r="G243" s="96" t="str">
        <f>IF(BUNDESLIGA!G296&lt;&gt;"",BUNDESLIGA!G296&amp;" - "&amp;BUNDESLIGA!H296,"")</f>
        <v/>
      </c>
      <c r="H243" s="96" t="str">
        <f t="shared" si="42"/>
        <v>1. FC Köln-Fortuna Düsseldorf</v>
      </c>
      <c r="I243" s="96" t="str">
        <f t="shared" si="37"/>
        <v/>
      </c>
      <c r="J243" s="97" t="str">
        <f t="shared" si="38"/>
        <v/>
      </c>
      <c r="L243" s="67" t="str">
        <f t="shared" si="39"/>
        <v/>
      </c>
      <c r="M243" s="67" t="str">
        <f t="shared" si="40"/>
        <v/>
      </c>
      <c r="O243" s="67" t="str">
        <f t="shared" si="41"/>
        <v/>
      </c>
      <c r="P243" s="67"/>
      <c r="Q243" s="67"/>
      <c r="R243" s="67"/>
      <c r="S243" s="67"/>
      <c r="T243" s="67"/>
      <c r="U243" s="67"/>
      <c r="V243" s="67"/>
      <c r="W243" s="67"/>
      <c r="X243" s="67"/>
      <c r="Y243" s="67"/>
      <c r="Z243" s="67"/>
      <c r="AA243" s="67"/>
      <c r="AB243" s="67"/>
      <c r="AC243" s="67"/>
      <c r="AD243" s="67"/>
      <c r="AE243" s="67"/>
      <c r="AF243" s="67"/>
      <c r="AG243" s="67"/>
      <c r="AH243" s="67"/>
      <c r="AI243" s="67"/>
      <c r="AJ243" s="67"/>
      <c r="AK243" s="67"/>
      <c r="AL243" s="67"/>
      <c r="AM243" s="67"/>
      <c r="AN243" s="67"/>
      <c r="AO243" s="67"/>
    </row>
    <row r="244" spans="3:41" x14ac:dyDescent="0.25">
      <c r="C244" s="94">
        <f t="shared" si="36"/>
        <v>27</v>
      </c>
      <c r="D244" s="95">
        <v>27</v>
      </c>
      <c r="E244" s="96" t="str">
        <f>BUNDESLIGA!F297&amp;IF(OR(BUNDESLIGA!G297="",BUNDESLIGA!H297=""),"",IF(BUNDESLIGA!G297&gt;BUNDESLIGA!H297,"",IF(BUNDESLIGA!G297&lt;BUNDESLIGA!H297,"","")))</f>
        <v>FC Schalke 04</v>
      </c>
      <c r="F244" s="96" t="str">
        <f>BUNDESLIGA!I297&amp;IF(OR(BUNDESLIGA!G297="",BUNDESLIGA!H297=""),"",IF(BUNDESLIGA!G297&lt;BUNDESLIGA!H297,"",IF(BUNDESLIGA!G297&gt;BUNDESLIGA!H297,"","")))</f>
        <v>FC Augsburg</v>
      </c>
      <c r="G244" s="96" t="str">
        <f>IF(BUNDESLIGA!G297&lt;&gt;"",BUNDESLIGA!G297&amp;" - "&amp;BUNDESLIGA!H297,"")</f>
        <v/>
      </c>
      <c r="H244" s="96" t="str">
        <f t="shared" si="42"/>
        <v>FC Schalke 04-FC Augsburg</v>
      </c>
      <c r="I244" s="96" t="str">
        <f t="shared" si="37"/>
        <v/>
      </c>
      <c r="J244" s="97" t="str">
        <f t="shared" si="38"/>
        <v/>
      </c>
      <c r="L244" s="67" t="str">
        <f t="shared" si="39"/>
        <v/>
      </c>
      <c r="M244" s="67" t="str">
        <f t="shared" si="40"/>
        <v/>
      </c>
      <c r="O244" s="67" t="str">
        <f t="shared" si="41"/>
        <v/>
      </c>
      <c r="P244" s="67"/>
      <c r="Q244" s="67"/>
      <c r="R244" s="67"/>
      <c r="S244" s="67"/>
      <c r="T244" s="67"/>
      <c r="U244" s="67"/>
      <c r="V244" s="67"/>
      <c r="W244" s="67"/>
      <c r="X244" s="67"/>
      <c r="Y244" s="67"/>
      <c r="Z244" s="67"/>
      <c r="AA244" s="67"/>
      <c r="AB244" s="67"/>
      <c r="AC244" s="67"/>
      <c r="AD244" s="67"/>
      <c r="AE244" s="67"/>
      <c r="AF244" s="67"/>
      <c r="AG244" s="67"/>
      <c r="AH244" s="67"/>
      <c r="AI244" s="67"/>
      <c r="AJ244" s="67"/>
      <c r="AK244" s="67"/>
      <c r="AL244" s="67"/>
      <c r="AM244" s="67"/>
      <c r="AN244" s="67"/>
      <c r="AO244" s="67"/>
    </row>
    <row r="245" spans="3:41" x14ac:dyDescent="0.25">
      <c r="C245" s="94" t="str">
        <f t="shared" si="36"/>
        <v/>
      </c>
      <c r="D245" s="95">
        <v>27</v>
      </c>
      <c r="E245" s="96" t="str">
        <f>BUNDESLIGA!F298&amp;IF(OR(BUNDESLIGA!G298="",BUNDESLIGA!H298=""),"",IF(BUNDESLIGA!G298&gt;BUNDESLIGA!H298,"",IF(BUNDESLIGA!G298&lt;BUNDESLIGA!H298,"","")))</f>
        <v>Hertha BSC</v>
      </c>
      <c r="F245" s="96" t="str">
        <f>BUNDESLIGA!I298&amp;IF(OR(BUNDESLIGA!G298="",BUNDESLIGA!H298=""),"",IF(BUNDESLIGA!G298&lt;BUNDESLIGA!H298,"",IF(BUNDESLIGA!G298&gt;BUNDESLIGA!H298,"","")))</f>
        <v>1. FC Union Berlin</v>
      </c>
      <c r="G245" s="96" t="str">
        <f>IF(BUNDESLIGA!G298&lt;&gt;"",BUNDESLIGA!G298&amp;" - "&amp;BUNDESLIGA!H298,"")</f>
        <v/>
      </c>
      <c r="H245" s="96" t="str">
        <f t="shared" si="42"/>
        <v>Hertha BSC-1. FC Union Berlin</v>
      </c>
      <c r="I245" s="96" t="str">
        <f t="shared" si="37"/>
        <v/>
      </c>
      <c r="J245" s="97" t="str">
        <f t="shared" si="38"/>
        <v/>
      </c>
      <c r="L245" s="67" t="str">
        <f t="shared" si="39"/>
        <v/>
      </c>
      <c r="M245" s="67" t="str">
        <f t="shared" si="40"/>
        <v/>
      </c>
      <c r="O245" s="67" t="str">
        <f t="shared" si="41"/>
        <v/>
      </c>
      <c r="P245" s="67"/>
      <c r="Q245" s="67"/>
      <c r="R245" s="67"/>
      <c r="S245" s="67"/>
      <c r="T245" s="67"/>
      <c r="U245" s="67"/>
      <c r="V245" s="67"/>
      <c r="W245" s="67"/>
      <c r="X245" s="67"/>
      <c r="Y245" s="67"/>
      <c r="Z245" s="67"/>
      <c r="AA245" s="67"/>
      <c r="AB245" s="67"/>
      <c r="AC245" s="67"/>
      <c r="AD245" s="67"/>
      <c r="AE245" s="67"/>
      <c r="AF245" s="67"/>
      <c r="AG245" s="67"/>
      <c r="AH245" s="67"/>
      <c r="AI245" s="67"/>
      <c r="AJ245" s="67"/>
      <c r="AK245" s="67"/>
      <c r="AL245" s="67"/>
      <c r="AM245" s="67"/>
      <c r="AN245" s="67"/>
      <c r="AO245" s="67"/>
    </row>
    <row r="246" spans="3:41" x14ac:dyDescent="0.25">
      <c r="C246" s="94" t="str">
        <f t="shared" si="36"/>
        <v/>
      </c>
      <c r="D246" s="95">
        <v>28</v>
      </c>
      <c r="E246" s="96" t="str">
        <f>BUNDESLIGA!F301&amp;IF(OR(BUNDESLIGA!G301="",BUNDESLIGA!H301=""),"",IF(BUNDESLIGA!G301&gt;BUNDESLIGA!H301,"",IF(BUNDESLIGA!G301&lt;BUNDESLIGA!H301,"","")))</f>
        <v>Borussia Dortmund</v>
      </c>
      <c r="F246" s="96" t="str">
        <f>BUNDESLIGA!I301&amp;IF(OR(BUNDESLIGA!G301="",BUNDESLIGA!H301=""),"",IF(BUNDESLIGA!G301&lt;BUNDESLIGA!H301,"",IF(BUNDESLIGA!G301&gt;BUNDESLIGA!H301,"","")))</f>
        <v>Bayern München</v>
      </c>
      <c r="G246" s="96" t="str">
        <f>IF(BUNDESLIGA!G301&lt;&gt;"",BUNDESLIGA!G301&amp;" - "&amp;BUNDESLIGA!H301,"")</f>
        <v/>
      </c>
      <c r="H246" s="96" t="str">
        <f t="shared" si="42"/>
        <v>Borussia Dortmund-Bayern München</v>
      </c>
      <c r="I246" s="96" t="str">
        <f t="shared" si="37"/>
        <v/>
      </c>
      <c r="J246" s="97" t="str">
        <f t="shared" si="38"/>
        <v/>
      </c>
      <c r="L246" s="67" t="str">
        <f t="shared" si="39"/>
        <v/>
      </c>
      <c r="M246" s="67" t="str">
        <f t="shared" si="40"/>
        <v/>
      </c>
      <c r="O246" s="67" t="str">
        <f t="shared" si="41"/>
        <v/>
      </c>
      <c r="P246" s="67"/>
      <c r="Q246" s="67"/>
      <c r="R246" s="67"/>
      <c r="S246" s="67"/>
      <c r="T246" s="67"/>
      <c r="U246" s="67"/>
      <c r="V246" s="67"/>
      <c r="W246" s="67"/>
      <c r="X246" s="67"/>
      <c r="Y246" s="67"/>
      <c r="Z246" s="67"/>
      <c r="AA246" s="67"/>
      <c r="AB246" s="67"/>
      <c r="AC246" s="67"/>
      <c r="AD246" s="67"/>
      <c r="AE246" s="67"/>
      <c r="AF246" s="67"/>
      <c r="AG246" s="67"/>
      <c r="AH246" s="67"/>
      <c r="AI246" s="67"/>
      <c r="AJ246" s="67"/>
      <c r="AK246" s="67"/>
      <c r="AL246" s="67"/>
      <c r="AM246" s="67"/>
      <c r="AN246" s="67"/>
      <c r="AO246" s="67"/>
    </row>
    <row r="247" spans="3:41" x14ac:dyDescent="0.25">
      <c r="C247" s="94" t="str">
        <f t="shared" si="36"/>
        <v/>
      </c>
      <c r="D247" s="95">
        <v>28</v>
      </c>
      <c r="E247" s="96" t="str">
        <f>BUNDESLIGA!F302&amp;IF(OR(BUNDESLIGA!G302="",BUNDESLIGA!H302=""),"",IF(BUNDESLIGA!G302&gt;BUNDESLIGA!H302,"",IF(BUNDESLIGA!G302&lt;BUNDESLIGA!H302,"","")))</f>
        <v>Werder Bremen</v>
      </c>
      <c r="F247" s="96" t="str">
        <f>BUNDESLIGA!I302&amp;IF(OR(BUNDESLIGA!G302="",BUNDESLIGA!H302=""),"",IF(BUNDESLIGA!G302&lt;BUNDESLIGA!H302,"",IF(BUNDESLIGA!G302&gt;BUNDESLIGA!H302,"","")))</f>
        <v>Bor. Mönchengladbach</v>
      </c>
      <c r="G247" s="96" t="str">
        <f>IF(BUNDESLIGA!G302&lt;&gt;"",BUNDESLIGA!G302&amp;" - "&amp;BUNDESLIGA!H302,"")</f>
        <v/>
      </c>
      <c r="H247" s="96" t="str">
        <f t="shared" si="42"/>
        <v>Werder Bremen-Bor. Mönchengladbach</v>
      </c>
      <c r="I247" s="96" t="str">
        <f t="shared" si="37"/>
        <v/>
      </c>
      <c r="J247" s="97" t="str">
        <f t="shared" si="38"/>
        <v/>
      </c>
      <c r="L247" s="67" t="str">
        <f t="shared" si="39"/>
        <v/>
      </c>
      <c r="M247" s="67" t="str">
        <f t="shared" si="40"/>
        <v/>
      </c>
      <c r="O247" s="67" t="str">
        <f t="shared" si="41"/>
        <v/>
      </c>
      <c r="P247" s="67"/>
      <c r="Q247" s="67"/>
      <c r="R247" s="67"/>
      <c r="S247" s="67"/>
      <c r="T247" s="67"/>
      <c r="U247" s="67"/>
      <c r="V247" s="67"/>
      <c r="W247" s="67"/>
      <c r="X247" s="67"/>
      <c r="Y247" s="67"/>
      <c r="Z247" s="67"/>
      <c r="AA247" s="67"/>
      <c r="AB247" s="67"/>
      <c r="AC247" s="67"/>
      <c r="AD247" s="67"/>
      <c r="AE247" s="67"/>
      <c r="AF247" s="67"/>
      <c r="AG247" s="67"/>
      <c r="AH247" s="67"/>
      <c r="AI247" s="67"/>
      <c r="AJ247" s="67"/>
      <c r="AK247" s="67"/>
      <c r="AL247" s="67"/>
      <c r="AM247" s="67"/>
      <c r="AN247" s="67"/>
      <c r="AO247" s="67"/>
    </row>
    <row r="248" spans="3:41" x14ac:dyDescent="0.25">
      <c r="C248" s="94" t="str">
        <f t="shared" si="36"/>
        <v/>
      </c>
      <c r="D248" s="95">
        <v>28</v>
      </c>
      <c r="E248" s="96" t="str">
        <f>BUNDESLIGA!F303&amp;IF(OR(BUNDESLIGA!G303="",BUNDESLIGA!H303=""),"",IF(BUNDESLIGA!G303&gt;BUNDESLIGA!H303,"",IF(BUNDESLIGA!G303&lt;BUNDESLIGA!H303,"","")))</f>
        <v>Bayer Leverkusen</v>
      </c>
      <c r="F248" s="96" t="str">
        <f>BUNDESLIGA!I303&amp;IF(OR(BUNDESLIGA!G303="",BUNDESLIGA!H303=""),"",IF(BUNDESLIGA!G303&lt;BUNDESLIGA!H303,"",IF(BUNDESLIGA!G303&gt;BUNDESLIGA!H303,"","")))</f>
        <v>VfL Wolfsburg</v>
      </c>
      <c r="G248" s="96" t="str">
        <f>IF(BUNDESLIGA!G303&lt;&gt;"",BUNDESLIGA!G303&amp;" - "&amp;BUNDESLIGA!H303,"")</f>
        <v/>
      </c>
      <c r="H248" s="96" t="str">
        <f t="shared" si="42"/>
        <v>Bayer Leverkusen-VfL Wolfsburg</v>
      </c>
      <c r="I248" s="96" t="str">
        <f t="shared" si="37"/>
        <v/>
      </c>
      <c r="J248" s="97" t="str">
        <f t="shared" si="38"/>
        <v/>
      </c>
      <c r="L248" s="67" t="str">
        <f t="shared" si="39"/>
        <v/>
      </c>
      <c r="M248" s="67" t="str">
        <f t="shared" si="40"/>
        <v/>
      </c>
      <c r="O248" s="67" t="str">
        <f t="shared" si="41"/>
        <v/>
      </c>
      <c r="P248" s="67"/>
      <c r="Q248" s="67"/>
      <c r="R248" s="67"/>
      <c r="S248" s="67"/>
      <c r="T248" s="67"/>
      <c r="U248" s="67"/>
      <c r="V248" s="67"/>
      <c r="W248" s="67"/>
      <c r="X248" s="67"/>
      <c r="Y248" s="67"/>
      <c r="Z248" s="67"/>
      <c r="AA248" s="67"/>
      <c r="AB248" s="67"/>
      <c r="AC248" s="67"/>
      <c r="AD248" s="67"/>
      <c r="AE248" s="67"/>
      <c r="AF248" s="67"/>
      <c r="AG248" s="67"/>
      <c r="AH248" s="67"/>
      <c r="AI248" s="67"/>
      <c r="AJ248" s="67"/>
      <c r="AK248" s="67"/>
      <c r="AL248" s="67"/>
      <c r="AM248" s="67"/>
      <c r="AN248" s="67"/>
      <c r="AO248" s="67"/>
    </row>
    <row r="249" spans="3:41" x14ac:dyDescent="0.25">
      <c r="C249" s="94" t="str">
        <f t="shared" si="36"/>
        <v/>
      </c>
      <c r="D249" s="95">
        <v>28</v>
      </c>
      <c r="E249" s="96" t="str">
        <f>BUNDESLIGA!F304&amp;IF(OR(BUNDESLIGA!G304="",BUNDESLIGA!H304=""),"",IF(BUNDESLIGA!G304&gt;BUNDESLIGA!H304,"",IF(BUNDESLIGA!G304&lt;BUNDESLIGA!H304,"","")))</f>
        <v>RB Leipzig</v>
      </c>
      <c r="F249" s="96" t="str">
        <f>BUNDESLIGA!I304&amp;IF(OR(BUNDESLIGA!G304="",BUNDESLIGA!H304=""),"",IF(BUNDESLIGA!G304&lt;BUNDESLIGA!H304,"",IF(BUNDESLIGA!G304&gt;BUNDESLIGA!H304,"","")))</f>
        <v>Hertha BSC</v>
      </c>
      <c r="G249" s="96" t="str">
        <f>IF(BUNDESLIGA!G304&lt;&gt;"",BUNDESLIGA!G304&amp;" - "&amp;BUNDESLIGA!H304,"")</f>
        <v/>
      </c>
      <c r="H249" s="96" t="str">
        <f t="shared" si="42"/>
        <v>RB Leipzig-Hertha BSC</v>
      </c>
      <c r="I249" s="96" t="str">
        <f t="shared" si="37"/>
        <v/>
      </c>
      <c r="J249" s="97" t="str">
        <f t="shared" si="38"/>
        <v/>
      </c>
      <c r="L249" s="67" t="str">
        <f t="shared" si="39"/>
        <v/>
      </c>
      <c r="M249" s="67" t="str">
        <f t="shared" si="40"/>
        <v/>
      </c>
      <c r="O249" s="67" t="str">
        <f t="shared" si="41"/>
        <v/>
      </c>
      <c r="P249" s="67"/>
      <c r="Q249" s="67"/>
      <c r="R249" s="67"/>
      <c r="S249" s="67"/>
      <c r="T249" s="67"/>
      <c r="U249" s="67"/>
      <c r="V249" s="67"/>
      <c r="W249" s="67"/>
      <c r="X249" s="67"/>
      <c r="Y249" s="67"/>
      <c r="Z249" s="67"/>
      <c r="AA249" s="67"/>
      <c r="AB249" s="67"/>
      <c r="AC249" s="67"/>
      <c r="AD249" s="67"/>
      <c r="AE249" s="67"/>
      <c r="AF249" s="67"/>
      <c r="AG249" s="67"/>
      <c r="AH249" s="67"/>
      <c r="AI249" s="67"/>
      <c r="AJ249" s="67"/>
      <c r="AK249" s="67"/>
      <c r="AL249" s="67"/>
      <c r="AM249" s="67"/>
      <c r="AN249" s="67"/>
      <c r="AO249" s="67"/>
    </row>
    <row r="250" spans="3:41" x14ac:dyDescent="0.25">
      <c r="C250" s="94" t="str">
        <f t="shared" si="36"/>
        <v/>
      </c>
      <c r="D250" s="95">
        <v>28</v>
      </c>
      <c r="E250" s="96" t="str">
        <f>BUNDESLIGA!F305&amp;IF(OR(BUNDESLIGA!G305="",BUNDESLIGA!H305=""),"",IF(BUNDESLIGA!G305&gt;BUNDESLIGA!H305,"",IF(BUNDESLIGA!G305&lt;BUNDESLIGA!H305,"","")))</f>
        <v>1. FC Union Berlin</v>
      </c>
      <c r="F250" s="96" t="str">
        <f>BUNDESLIGA!I305&amp;IF(OR(BUNDESLIGA!G305="",BUNDESLIGA!H305=""),"",IF(BUNDESLIGA!G305&lt;BUNDESLIGA!H305,"",IF(BUNDESLIGA!G305&gt;BUNDESLIGA!H305,"","")))</f>
        <v>1. FSV Mainz 05</v>
      </c>
      <c r="G250" s="96" t="str">
        <f>IF(BUNDESLIGA!G305&lt;&gt;"",BUNDESLIGA!G305&amp;" - "&amp;BUNDESLIGA!H305,"")</f>
        <v/>
      </c>
      <c r="H250" s="96" t="str">
        <f t="shared" si="42"/>
        <v>1. FC Union Berlin-1. FSV Mainz 05</v>
      </c>
      <c r="I250" s="96" t="str">
        <f t="shared" si="37"/>
        <v/>
      </c>
      <c r="J250" s="97" t="str">
        <f t="shared" si="38"/>
        <v/>
      </c>
      <c r="L250" s="67" t="str">
        <f t="shared" si="39"/>
        <v/>
      </c>
      <c r="M250" s="67" t="str">
        <f t="shared" si="40"/>
        <v/>
      </c>
      <c r="O250" s="67" t="str">
        <f t="shared" si="41"/>
        <v/>
      </c>
      <c r="P250" s="67"/>
      <c r="Q250" s="67"/>
      <c r="R250" s="67"/>
      <c r="S250" s="67"/>
      <c r="T250" s="67"/>
      <c r="U250" s="67"/>
      <c r="V250" s="67"/>
      <c r="W250" s="67"/>
      <c r="X250" s="67"/>
      <c r="Y250" s="67"/>
      <c r="Z250" s="67"/>
      <c r="AA250" s="67"/>
      <c r="AB250" s="67"/>
      <c r="AC250" s="67"/>
      <c r="AD250" s="67"/>
      <c r="AE250" s="67"/>
      <c r="AF250" s="67"/>
      <c r="AG250" s="67"/>
      <c r="AH250" s="67"/>
      <c r="AI250" s="67"/>
      <c r="AJ250" s="67"/>
      <c r="AK250" s="67"/>
      <c r="AL250" s="67"/>
      <c r="AM250" s="67"/>
      <c r="AN250" s="67"/>
      <c r="AO250" s="67"/>
    </row>
    <row r="251" spans="3:41" x14ac:dyDescent="0.25">
      <c r="C251" s="94" t="str">
        <f t="shared" si="36"/>
        <v/>
      </c>
      <c r="D251" s="95">
        <v>28</v>
      </c>
      <c r="E251" s="96" t="str">
        <f>BUNDESLIGA!F306&amp;IF(OR(BUNDESLIGA!G306="",BUNDESLIGA!H306=""),"",IF(BUNDESLIGA!G306&gt;BUNDESLIGA!H306,"",IF(BUNDESLIGA!G306&lt;BUNDESLIGA!H306,"","")))</f>
        <v>Eintracht Frankfurt</v>
      </c>
      <c r="F251" s="96" t="str">
        <f>BUNDESLIGA!I306&amp;IF(OR(BUNDESLIGA!G306="",BUNDESLIGA!H306=""),"",IF(BUNDESLIGA!G306&lt;BUNDESLIGA!H306,"",IF(BUNDESLIGA!G306&gt;BUNDESLIGA!H306,"","")))</f>
        <v>SC Freiburg</v>
      </c>
      <c r="G251" s="96" t="str">
        <f>IF(BUNDESLIGA!G306&lt;&gt;"",BUNDESLIGA!G306&amp;" - "&amp;BUNDESLIGA!H306,"")</f>
        <v/>
      </c>
      <c r="H251" s="96" t="str">
        <f t="shared" si="42"/>
        <v>Eintracht Frankfurt-SC Freiburg</v>
      </c>
      <c r="I251" s="96" t="str">
        <f t="shared" si="37"/>
        <v/>
      </c>
      <c r="J251" s="97" t="str">
        <f t="shared" si="38"/>
        <v/>
      </c>
      <c r="L251" s="67" t="str">
        <f t="shared" si="39"/>
        <v/>
      </c>
      <c r="M251" s="67" t="str">
        <f t="shared" si="40"/>
        <v/>
      </c>
      <c r="O251" s="67" t="str">
        <f t="shared" si="41"/>
        <v/>
      </c>
      <c r="P251" s="67"/>
      <c r="Q251" s="67"/>
      <c r="R251" s="67"/>
      <c r="S251" s="67"/>
      <c r="T251" s="67"/>
      <c r="U251" s="67"/>
      <c r="V251" s="67"/>
      <c r="W251" s="67"/>
      <c r="X251" s="67"/>
      <c r="Y251" s="67"/>
      <c r="Z251" s="67"/>
      <c r="AA251" s="67"/>
      <c r="AB251" s="67"/>
      <c r="AC251" s="67"/>
      <c r="AD251" s="67"/>
      <c r="AE251" s="67"/>
      <c r="AF251" s="67"/>
      <c r="AG251" s="67"/>
      <c r="AH251" s="67"/>
      <c r="AI251" s="67"/>
      <c r="AJ251" s="67"/>
      <c r="AK251" s="67"/>
      <c r="AL251" s="67"/>
      <c r="AM251" s="67"/>
      <c r="AN251" s="67"/>
      <c r="AO251" s="67"/>
    </row>
    <row r="252" spans="3:41" x14ac:dyDescent="0.25">
      <c r="C252" s="94" t="str">
        <f t="shared" si="36"/>
        <v/>
      </c>
      <c r="D252" s="95">
        <v>28</v>
      </c>
      <c r="E252" s="96" t="str">
        <f>BUNDESLIGA!F307&amp;IF(OR(BUNDESLIGA!G307="",BUNDESLIGA!H307=""),"",IF(BUNDESLIGA!G307&gt;BUNDESLIGA!H307,"",IF(BUNDESLIGA!G307&lt;BUNDESLIGA!H307,"","")))</f>
        <v>Fortuna Düsseldorf</v>
      </c>
      <c r="F252" s="96" t="str">
        <f>BUNDESLIGA!I307&amp;IF(OR(BUNDESLIGA!G307="",BUNDESLIGA!H307=""),"",IF(BUNDESLIGA!G307&lt;BUNDESLIGA!H307,"",IF(BUNDESLIGA!G307&gt;BUNDESLIGA!H307,"","")))</f>
        <v>FC Schalke 04</v>
      </c>
      <c r="G252" s="96" t="str">
        <f>IF(BUNDESLIGA!G307&lt;&gt;"",BUNDESLIGA!G307&amp;" - "&amp;BUNDESLIGA!H307,"")</f>
        <v/>
      </c>
      <c r="H252" s="96" t="str">
        <f t="shared" si="42"/>
        <v>Fortuna Düsseldorf-FC Schalke 04</v>
      </c>
      <c r="I252" s="96" t="str">
        <f t="shared" si="37"/>
        <v/>
      </c>
      <c r="J252" s="97" t="str">
        <f t="shared" si="38"/>
        <v/>
      </c>
      <c r="L252" s="67" t="str">
        <f t="shared" si="39"/>
        <v/>
      </c>
      <c r="M252" s="67" t="str">
        <f t="shared" si="40"/>
        <v/>
      </c>
      <c r="O252" s="67" t="str">
        <f t="shared" si="41"/>
        <v/>
      </c>
      <c r="P252" s="67"/>
      <c r="Q252" s="67"/>
      <c r="R252" s="67"/>
      <c r="S252" s="67"/>
      <c r="T252" s="67"/>
      <c r="U252" s="67"/>
      <c r="V252" s="67"/>
      <c r="W252" s="67"/>
      <c r="X252" s="67"/>
      <c r="Y252" s="67"/>
      <c r="Z252" s="67"/>
      <c r="AA252" s="67"/>
      <c r="AB252" s="67"/>
      <c r="AC252" s="67"/>
      <c r="AD252" s="67"/>
      <c r="AE252" s="67"/>
      <c r="AF252" s="67"/>
      <c r="AG252" s="67"/>
      <c r="AH252" s="67"/>
      <c r="AI252" s="67"/>
      <c r="AJ252" s="67"/>
      <c r="AK252" s="67"/>
      <c r="AL252" s="67"/>
      <c r="AM252" s="67"/>
      <c r="AN252" s="67"/>
      <c r="AO252" s="67"/>
    </row>
    <row r="253" spans="3:41" x14ac:dyDescent="0.25">
      <c r="C253" s="94" t="str">
        <f t="shared" si="36"/>
        <v/>
      </c>
      <c r="D253" s="95">
        <v>28</v>
      </c>
      <c r="E253" s="96" t="str">
        <f>BUNDESLIGA!F308&amp;IF(OR(BUNDESLIGA!G308="",BUNDESLIGA!H308=""),"",IF(BUNDESLIGA!G308&gt;BUNDESLIGA!H308,"",IF(BUNDESLIGA!G308&lt;BUNDESLIGA!H308,"","")))</f>
        <v>1899 Hoffenheim</v>
      </c>
      <c r="F253" s="96" t="str">
        <f>BUNDESLIGA!I308&amp;IF(OR(BUNDESLIGA!G308="",BUNDESLIGA!H308=""),"",IF(BUNDESLIGA!G308&lt;BUNDESLIGA!H308,"",IF(BUNDESLIGA!G308&gt;BUNDESLIGA!H308,"","")))</f>
        <v>1. FC Köln</v>
      </c>
      <c r="G253" s="96" t="str">
        <f>IF(BUNDESLIGA!G308&lt;&gt;"",BUNDESLIGA!G308&amp;" - "&amp;BUNDESLIGA!H308,"")</f>
        <v/>
      </c>
      <c r="H253" s="96" t="str">
        <f t="shared" si="42"/>
        <v>1899 Hoffenheim-1. FC Köln</v>
      </c>
      <c r="I253" s="96" t="str">
        <f t="shared" si="37"/>
        <v/>
      </c>
      <c r="J253" s="97" t="str">
        <f t="shared" si="38"/>
        <v/>
      </c>
      <c r="L253" s="67" t="str">
        <f t="shared" si="39"/>
        <v/>
      </c>
      <c r="M253" s="67" t="str">
        <f t="shared" si="40"/>
        <v/>
      </c>
      <c r="O253" s="67" t="str">
        <f t="shared" si="41"/>
        <v/>
      </c>
      <c r="P253" s="67"/>
      <c r="Q253" s="67"/>
      <c r="R253" s="67"/>
      <c r="S253" s="67"/>
      <c r="T253" s="67"/>
      <c r="U253" s="67"/>
      <c r="V253" s="67"/>
      <c r="W253" s="67"/>
      <c r="X253" s="67"/>
      <c r="Y253" s="67"/>
      <c r="Z253" s="67"/>
      <c r="AA253" s="67"/>
      <c r="AB253" s="67"/>
      <c r="AC253" s="67"/>
      <c r="AD253" s="67"/>
      <c r="AE253" s="67"/>
      <c r="AF253" s="67"/>
      <c r="AG253" s="67"/>
      <c r="AH253" s="67"/>
      <c r="AI253" s="67"/>
      <c r="AJ253" s="67"/>
      <c r="AK253" s="67"/>
      <c r="AL253" s="67"/>
      <c r="AM253" s="67"/>
      <c r="AN253" s="67"/>
      <c r="AO253" s="67"/>
    </row>
    <row r="254" spans="3:41" x14ac:dyDescent="0.25">
      <c r="C254" s="94">
        <f t="shared" si="36"/>
        <v>28</v>
      </c>
      <c r="D254" s="95">
        <v>28</v>
      </c>
      <c r="E254" s="96" t="str">
        <f>BUNDESLIGA!F309&amp;IF(OR(BUNDESLIGA!G309="",BUNDESLIGA!H309=""),"",IF(BUNDESLIGA!G309&gt;BUNDESLIGA!H309,"",IF(BUNDESLIGA!G309&lt;BUNDESLIGA!H309,"","")))</f>
        <v>FC Augsburg</v>
      </c>
      <c r="F254" s="96" t="str">
        <f>BUNDESLIGA!I309&amp;IF(OR(BUNDESLIGA!G309="",BUNDESLIGA!H309=""),"",IF(BUNDESLIGA!G309&lt;BUNDESLIGA!H309,"",IF(BUNDESLIGA!G309&gt;BUNDESLIGA!H309,"","")))</f>
        <v>SC Paderborn 07</v>
      </c>
      <c r="G254" s="96" t="str">
        <f>IF(BUNDESLIGA!G309&lt;&gt;"",BUNDESLIGA!G309&amp;" - "&amp;BUNDESLIGA!H309,"")</f>
        <v/>
      </c>
      <c r="H254" s="96" t="str">
        <f t="shared" si="42"/>
        <v>FC Augsburg-SC Paderborn 07</v>
      </c>
      <c r="I254" s="96" t="str">
        <f t="shared" si="37"/>
        <v/>
      </c>
      <c r="J254" s="97" t="str">
        <f t="shared" si="38"/>
        <v/>
      </c>
      <c r="L254" s="67" t="str">
        <f t="shared" si="39"/>
        <v/>
      </c>
      <c r="M254" s="67" t="str">
        <f t="shared" si="40"/>
        <v/>
      </c>
      <c r="O254" s="67" t="str">
        <f t="shared" si="41"/>
        <v/>
      </c>
      <c r="P254" s="67"/>
      <c r="Q254" s="67"/>
      <c r="R254" s="67"/>
      <c r="S254" s="67"/>
      <c r="T254" s="67"/>
      <c r="U254" s="67"/>
      <c r="V254" s="67"/>
      <c r="W254" s="67"/>
      <c r="X254" s="67"/>
      <c r="Y254" s="67"/>
      <c r="Z254" s="67"/>
      <c r="AA254" s="67"/>
      <c r="AB254" s="67"/>
      <c r="AC254" s="67"/>
      <c r="AD254" s="67"/>
      <c r="AE254" s="67"/>
      <c r="AF254" s="67"/>
      <c r="AG254" s="67"/>
      <c r="AH254" s="67"/>
      <c r="AI254" s="67"/>
      <c r="AJ254" s="67"/>
      <c r="AK254" s="67"/>
      <c r="AL254" s="67"/>
      <c r="AM254" s="67"/>
      <c r="AN254" s="67"/>
      <c r="AO254" s="67"/>
    </row>
    <row r="255" spans="3:41" x14ac:dyDescent="0.25">
      <c r="C255" s="94" t="str">
        <f t="shared" si="36"/>
        <v/>
      </c>
      <c r="D255" s="95">
        <v>29</v>
      </c>
      <c r="E255" s="96" t="str">
        <f>BUNDESLIGA!F312&amp;IF(OR(BUNDESLIGA!G312="",BUNDESLIGA!H312=""),"",IF(BUNDESLIGA!G312&gt;BUNDESLIGA!H312,"",IF(BUNDESLIGA!G312&lt;BUNDESLIGA!H312,"","")))</f>
        <v>SC Paderborn 07</v>
      </c>
      <c r="F255" s="96" t="str">
        <f>BUNDESLIGA!I312&amp;IF(OR(BUNDESLIGA!G312="",BUNDESLIGA!H312=""),"",IF(BUNDESLIGA!G312&lt;BUNDESLIGA!H312,"",IF(BUNDESLIGA!G312&gt;BUNDESLIGA!H312,"","")))</f>
        <v>Borussia Dortmund</v>
      </c>
      <c r="G255" s="96" t="str">
        <f>IF(BUNDESLIGA!G312&lt;&gt;"",BUNDESLIGA!G312&amp;" - "&amp;BUNDESLIGA!H312,"")</f>
        <v/>
      </c>
      <c r="H255" s="96" t="str">
        <f t="shared" si="42"/>
        <v>SC Paderborn 07-Borussia Dortmund</v>
      </c>
      <c r="I255" s="96" t="str">
        <f t="shared" si="37"/>
        <v/>
      </c>
      <c r="J255" s="97" t="str">
        <f t="shared" si="38"/>
        <v/>
      </c>
      <c r="L255" s="67" t="str">
        <f t="shared" si="39"/>
        <v/>
      </c>
      <c r="M255" s="67" t="str">
        <f t="shared" si="40"/>
        <v/>
      </c>
      <c r="O255" s="67" t="str">
        <f t="shared" si="41"/>
        <v/>
      </c>
      <c r="P255" s="67"/>
      <c r="Q255" s="67"/>
      <c r="R255" s="67"/>
      <c r="S255" s="67"/>
      <c r="T255" s="67"/>
      <c r="U255" s="67"/>
      <c r="V255" s="67"/>
      <c r="W255" s="67"/>
      <c r="X255" s="67"/>
      <c r="Y255" s="67"/>
      <c r="Z255" s="67"/>
      <c r="AA255" s="67"/>
      <c r="AB255" s="67"/>
      <c r="AC255" s="67"/>
      <c r="AD255" s="67"/>
      <c r="AE255" s="67"/>
      <c r="AF255" s="67"/>
      <c r="AG255" s="67"/>
      <c r="AH255" s="67"/>
      <c r="AI255" s="67"/>
      <c r="AJ255" s="67"/>
      <c r="AK255" s="67"/>
      <c r="AL255" s="67"/>
      <c r="AM255" s="67"/>
      <c r="AN255" s="67"/>
      <c r="AO255" s="67"/>
    </row>
    <row r="256" spans="3:41" x14ac:dyDescent="0.25">
      <c r="C256" s="94" t="str">
        <f t="shared" si="36"/>
        <v/>
      </c>
      <c r="D256" s="95">
        <v>29</v>
      </c>
      <c r="E256" s="96" t="str">
        <f>BUNDESLIGA!F313&amp;IF(OR(BUNDESLIGA!G313="",BUNDESLIGA!H313=""),"",IF(BUNDESLIGA!G313&gt;BUNDESLIGA!H313,"",IF(BUNDESLIGA!G313&lt;BUNDESLIGA!H313,"","")))</f>
        <v>1. FC Köln</v>
      </c>
      <c r="F256" s="96" t="str">
        <f>BUNDESLIGA!I313&amp;IF(OR(BUNDESLIGA!G313="",BUNDESLIGA!H313=""),"",IF(BUNDESLIGA!G313&lt;BUNDESLIGA!H313,"",IF(BUNDESLIGA!G313&gt;BUNDESLIGA!H313,"","")))</f>
        <v>RB Leipzig</v>
      </c>
      <c r="G256" s="96" t="str">
        <f>IF(BUNDESLIGA!G313&lt;&gt;"",BUNDESLIGA!G313&amp;" - "&amp;BUNDESLIGA!H313,"")</f>
        <v/>
      </c>
      <c r="H256" s="96" t="str">
        <f t="shared" si="42"/>
        <v>1. FC Köln-RB Leipzig</v>
      </c>
      <c r="I256" s="96" t="str">
        <f t="shared" si="37"/>
        <v/>
      </c>
      <c r="J256" s="97" t="str">
        <f t="shared" si="38"/>
        <v/>
      </c>
      <c r="L256" s="67" t="str">
        <f t="shared" si="39"/>
        <v/>
      </c>
      <c r="M256" s="67" t="str">
        <f t="shared" si="40"/>
        <v/>
      </c>
      <c r="O256" s="67" t="str">
        <f t="shared" si="41"/>
        <v/>
      </c>
      <c r="P256" s="67"/>
      <c r="Q256" s="67"/>
      <c r="R256" s="67"/>
      <c r="S256" s="67"/>
      <c r="T256" s="67"/>
      <c r="U256" s="67"/>
      <c r="V256" s="67"/>
      <c r="W256" s="67"/>
      <c r="X256" s="67"/>
      <c r="Y256" s="67"/>
      <c r="Z256" s="67"/>
      <c r="AA256" s="67"/>
      <c r="AB256" s="67"/>
      <c r="AC256" s="67"/>
      <c r="AD256" s="67"/>
      <c r="AE256" s="67"/>
      <c r="AF256" s="67"/>
      <c r="AG256" s="67"/>
      <c r="AH256" s="67"/>
      <c r="AI256" s="67"/>
      <c r="AJ256" s="67"/>
      <c r="AK256" s="67"/>
      <c r="AL256" s="67"/>
      <c r="AM256" s="67"/>
      <c r="AN256" s="67"/>
      <c r="AO256" s="67"/>
    </row>
    <row r="257" spans="3:41" x14ac:dyDescent="0.25">
      <c r="C257" s="94" t="str">
        <f t="shared" si="36"/>
        <v/>
      </c>
      <c r="D257" s="95">
        <v>29</v>
      </c>
      <c r="E257" s="96" t="str">
        <f>BUNDESLIGA!F314&amp;IF(OR(BUNDESLIGA!G314="",BUNDESLIGA!H314=""),"",IF(BUNDESLIGA!G314&gt;BUNDESLIGA!H314,"",IF(BUNDESLIGA!G314&lt;BUNDESLIGA!H314,"","")))</f>
        <v>SC Freiburg</v>
      </c>
      <c r="F257" s="96" t="str">
        <f>BUNDESLIGA!I314&amp;IF(OR(BUNDESLIGA!G314="",BUNDESLIGA!H314=""),"",IF(BUNDESLIGA!G314&lt;BUNDESLIGA!H314,"",IF(BUNDESLIGA!G314&gt;BUNDESLIGA!H314,"","")))</f>
        <v>Bayer Leverkusen</v>
      </c>
      <c r="G257" s="96" t="str">
        <f>IF(BUNDESLIGA!G314&lt;&gt;"",BUNDESLIGA!G314&amp;" - "&amp;BUNDESLIGA!H314,"")</f>
        <v/>
      </c>
      <c r="H257" s="96" t="str">
        <f t="shared" si="42"/>
        <v>SC Freiburg-Bayer Leverkusen</v>
      </c>
      <c r="I257" s="96" t="str">
        <f t="shared" si="37"/>
        <v/>
      </c>
      <c r="J257" s="97" t="str">
        <f t="shared" si="38"/>
        <v/>
      </c>
      <c r="L257" s="67" t="str">
        <f t="shared" si="39"/>
        <v/>
      </c>
      <c r="M257" s="67" t="str">
        <f t="shared" si="40"/>
        <v/>
      </c>
      <c r="O257" s="67" t="str">
        <f t="shared" si="41"/>
        <v/>
      </c>
      <c r="P257" s="67"/>
      <c r="Q257" s="67"/>
      <c r="R257" s="67"/>
      <c r="S257" s="67"/>
      <c r="T257" s="67"/>
      <c r="U257" s="67"/>
      <c r="V257" s="67"/>
      <c r="W257" s="67"/>
      <c r="X257" s="67"/>
      <c r="Y257" s="67"/>
      <c r="Z257" s="67"/>
      <c r="AA257" s="67"/>
      <c r="AB257" s="67"/>
      <c r="AC257" s="67"/>
      <c r="AD257" s="67"/>
      <c r="AE257" s="67"/>
      <c r="AF257" s="67"/>
      <c r="AG257" s="67"/>
      <c r="AH257" s="67"/>
      <c r="AI257" s="67"/>
      <c r="AJ257" s="67"/>
      <c r="AK257" s="67"/>
      <c r="AL257" s="67"/>
      <c r="AM257" s="67"/>
      <c r="AN257" s="67"/>
      <c r="AO257" s="67"/>
    </row>
    <row r="258" spans="3:41" x14ac:dyDescent="0.25">
      <c r="C258" s="94" t="str">
        <f t="shared" si="36"/>
        <v/>
      </c>
      <c r="D258" s="95">
        <v>29</v>
      </c>
      <c r="E258" s="96" t="str">
        <f>BUNDESLIGA!F315&amp;IF(OR(BUNDESLIGA!G315="",BUNDESLIGA!H315=""),"",IF(BUNDESLIGA!G315&gt;BUNDESLIGA!H315,"",IF(BUNDESLIGA!G315&lt;BUNDESLIGA!H315,"","")))</f>
        <v>VfL Wolfsburg</v>
      </c>
      <c r="F258" s="96" t="str">
        <f>BUNDESLIGA!I315&amp;IF(OR(BUNDESLIGA!G315="",BUNDESLIGA!H315=""),"",IF(BUNDESLIGA!G315&lt;BUNDESLIGA!H315,"",IF(BUNDESLIGA!G315&gt;BUNDESLIGA!H315,"","")))</f>
        <v>Eintracht Frankfurt</v>
      </c>
      <c r="G258" s="96" t="str">
        <f>IF(BUNDESLIGA!G315&lt;&gt;"",BUNDESLIGA!G315&amp;" - "&amp;BUNDESLIGA!H315,"")</f>
        <v/>
      </c>
      <c r="H258" s="96" t="str">
        <f t="shared" si="42"/>
        <v>VfL Wolfsburg-Eintracht Frankfurt</v>
      </c>
      <c r="I258" s="96" t="str">
        <f t="shared" si="37"/>
        <v/>
      </c>
      <c r="J258" s="97" t="str">
        <f t="shared" si="38"/>
        <v/>
      </c>
      <c r="L258" s="67" t="str">
        <f t="shared" si="39"/>
        <v/>
      </c>
      <c r="M258" s="67" t="str">
        <f t="shared" si="40"/>
        <v/>
      </c>
      <c r="O258" s="67" t="str">
        <f t="shared" si="41"/>
        <v/>
      </c>
      <c r="P258" s="67"/>
      <c r="Q258" s="67"/>
      <c r="R258" s="67"/>
      <c r="S258" s="67"/>
      <c r="T258" s="67"/>
      <c r="U258" s="67"/>
      <c r="V258" s="67"/>
      <c r="W258" s="67"/>
      <c r="X258" s="67"/>
      <c r="Y258" s="67"/>
      <c r="Z258" s="67"/>
      <c r="AA258" s="67"/>
      <c r="AB258" s="67"/>
      <c r="AC258" s="67"/>
      <c r="AD258" s="67"/>
      <c r="AE258" s="67"/>
      <c r="AF258" s="67"/>
      <c r="AG258" s="67"/>
      <c r="AH258" s="67"/>
      <c r="AI258" s="67"/>
      <c r="AJ258" s="67"/>
      <c r="AK258" s="67"/>
      <c r="AL258" s="67"/>
      <c r="AM258" s="67"/>
      <c r="AN258" s="67"/>
      <c r="AO258" s="67"/>
    </row>
    <row r="259" spans="3:41" x14ac:dyDescent="0.25">
      <c r="C259" s="94" t="str">
        <f t="shared" ref="C259:C308" si="43">IF(E259=$Q$2,D259,IF(F259=$Q$2,D259,""))</f>
        <v/>
      </c>
      <c r="D259" s="95">
        <v>29</v>
      </c>
      <c r="E259" s="96" t="str">
        <f>BUNDESLIGA!F316&amp;IF(OR(BUNDESLIGA!G316="",BUNDESLIGA!H316=""),"",IF(BUNDESLIGA!G316&gt;BUNDESLIGA!H316,"",IF(BUNDESLIGA!G316&lt;BUNDESLIGA!H316,"","")))</f>
        <v>FC Schalke 04</v>
      </c>
      <c r="F259" s="96" t="str">
        <f>BUNDESLIGA!I316&amp;IF(OR(BUNDESLIGA!G316="",BUNDESLIGA!H316=""),"",IF(BUNDESLIGA!G316&lt;BUNDESLIGA!H316,"",IF(BUNDESLIGA!G316&gt;BUNDESLIGA!H316,"","")))</f>
        <v>Werder Bremen</v>
      </c>
      <c r="G259" s="96" t="str">
        <f>IF(BUNDESLIGA!G316&lt;&gt;"",BUNDESLIGA!G316&amp;" - "&amp;BUNDESLIGA!H316,"")</f>
        <v/>
      </c>
      <c r="H259" s="96" t="str">
        <f t="shared" si="42"/>
        <v>FC Schalke 04-Werder Bremen</v>
      </c>
      <c r="I259" s="96" t="str">
        <f t="shared" ref="I259:I308" si="44">LEFT(G259,1)</f>
        <v/>
      </c>
      <c r="J259" s="97" t="str">
        <f t="shared" ref="J259:J308" si="45">RIGHT(G259,1)</f>
        <v/>
      </c>
      <c r="L259" s="67" t="str">
        <f t="shared" ref="L259:L308" si="46">IF(I259="","",IF(I259&gt;J259,3,IF(I259=J259,1,0)))</f>
        <v/>
      </c>
      <c r="M259" s="67" t="str">
        <f t="shared" ref="M259:M308" si="47">IF(J259="","",IF(J259&gt;I259,3,IF(J259=I259,1,0)))</f>
        <v/>
      </c>
      <c r="O259" s="67" t="str">
        <f t="shared" ref="O259:O308" si="48">IF(AND($I259&lt;&gt;"",ISNUMBER(SEARCH("-"&amp;$Q$2,$H259))+ISNUMBER(SEARCH($Q$2&amp;"-",$H259))),ROW(),"")</f>
        <v/>
      </c>
      <c r="P259" s="67"/>
      <c r="Q259" s="67"/>
      <c r="R259" s="67"/>
      <c r="S259" s="67"/>
      <c r="T259" s="67"/>
      <c r="U259" s="67"/>
      <c r="V259" s="67"/>
      <c r="W259" s="67"/>
      <c r="X259" s="67"/>
      <c r="Y259" s="67"/>
      <c r="Z259" s="67"/>
      <c r="AA259" s="67"/>
      <c r="AB259" s="67"/>
      <c r="AC259" s="67"/>
      <c r="AD259" s="67"/>
      <c r="AE259" s="67"/>
      <c r="AF259" s="67"/>
      <c r="AG259" s="67"/>
      <c r="AH259" s="67"/>
      <c r="AI259" s="67"/>
      <c r="AJ259" s="67"/>
      <c r="AK259" s="67"/>
      <c r="AL259" s="67"/>
      <c r="AM259" s="67"/>
      <c r="AN259" s="67"/>
      <c r="AO259" s="67"/>
    </row>
    <row r="260" spans="3:41" x14ac:dyDescent="0.25">
      <c r="C260" s="94" t="str">
        <f t="shared" si="43"/>
        <v/>
      </c>
      <c r="D260" s="95">
        <v>29</v>
      </c>
      <c r="E260" s="96" t="str">
        <f>BUNDESLIGA!F317&amp;IF(OR(BUNDESLIGA!G317="",BUNDESLIGA!H317=""),"",IF(BUNDESLIGA!G317&gt;BUNDESLIGA!H317,"",IF(BUNDESLIGA!G317&lt;BUNDESLIGA!H317,"","")))</f>
        <v>1. FSV Mainz 05</v>
      </c>
      <c r="F260" s="96" t="str">
        <f>BUNDESLIGA!I317&amp;IF(OR(BUNDESLIGA!G317="",BUNDESLIGA!H317=""),"",IF(BUNDESLIGA!G317&lt;BUNDESLIGA!H317,"",IF(BUNDESLIGA!G317&gt;BUNDESLIGA!H317,"","")))</f>
        <v>1899 Hoffenheim</v>
      </c>
      <c r="G260" s="96" t="str">
        <f>IF(BUNDESLIGA!G317&lt;&gt;"",BUNDESLIGA!G317&amp;" - "&amp;BUNDESLIGA!H317,"")</f>
        <v/>
      </c>
      <c r="H260" s="96" t="str">
        <f t="shared" si="42"/>
        <v>1. FSV Mainz 05-1899 Hoffenheim</v>
      </c>
      <c r="I260" s="96" t="str">
        <f t="shared" si="44"/>
        <v/>
      </c>
      <c r="J260" s="97" t="str">
        <f t="shared" si="45"/>
        <v/>
      </c>
      <c r="L260" s="67" t="str">
        <f t="shared" si="46"/>
        <v/>
      </c>
      <c r="M260" s="67" t="str">
        <f t="shared" si="47"/>
        <v/>
      </c>
      <c r="O260" s="67" t="str">
        <f t="shared" si="48"/>
        <v/>
      </c>
      <c r="P260" s="67"/>
      <c r="Q260" s="67"/>
      <c r="R260" s="67"/>
      <c r="S260" s="67"/>
      <c r="T260" s="67"/>
      <c r="U260" s="67"/>
      <c r="V260" s="67"/>
      <c r="W260" s="67"/>
      <c r="X260" s="67"/>
      <c r="Y260" s="67"/>
      <c r="Z260" s="67"/>
      <c r="AA260" s="67"/>
      <c r="AB260" s="67"/>
      <c r="AC260" s="67"/>
      <c r="AD260" s="67"/>
      <c r="AE260" s="67"/>
      <c r="AF260" s="67"/>
      <c r="AG260" s="67"/>
      <c r="AH260" s="67"/>
      <c r="AI260" s="67"/>
      <c r="AJ260" s="67"/>
      <c r="AK260" s="67"/>
      <c r="AL260" s="67"/>
      <c r="AM260" s="67"/>
      <c r="AN260" s="67"/>
      <c r="AO260" s="67"/>
    </row>
    <row r="261" spans="3:41" x14ac:dyDescent="0.25">
      <c r="C261" s="94" t="str">
        <f t="shared" si="43"/>
        <v/>
      </c>
      <c r="D261" s="95">
        <v>29</v>
      </c>
      <c r="E261" s="96" t="str">
        <f>BUNDESLIGA!F318&amp;IF(OR(BUNDESLIGA!G318="",BUNDESLIGA!H318=""),"",IF(BUNDESLIGA!G318&gt;BUNDESLIGA!H318,"",IF(BUNDESLIGA!G318&lt;BUNDESLIGA!H318,"","")))</f>
        <v>Bayern München</v>
      </c>
      <c r="F261" s="96" t="str">
        <f>BUNDESLIGA!I318&amp;IF(OR(BUNDESLIGA!G318="",BUNDESLIGA!H318=""),"",IF(BUNDESLIGA!G318&lt;BUNDESLIGA!H318,"",IF(BUNDESLIGA!G318&gt;BUNDESLIGA!H318,"","")))</f>
        <v>Fortuna Düsseldorf</v>
      </c>
      <c r="G261" s="96" t="str">
        <f>IF(BUNDESLIGA!G318&lt;&gt;"",BUNDESLIGA!G318&amp;" - "&amp;BUNDESLIGA!H318,"")</f>
        <v/>
      </c>
      <c r="H261" s="96" t="str">
        <f t="shared" ref="H261:H308" si="49">(E261&amp;"-"&amp;F261)</f>
        <v>Bayern München-Fortuna Düsseldorf</v>
      </c>
      <c r="I261" s="96" t="str">
        <f t="shared" si="44"/>
        <v/>
      </c>
      <c r="J261" s="97" t="str">
        <f t="shared" si="45"/>
        <v/>
      </c>
      <c r="L261" s="67" t="str">
        <f t="shared" si="46"/>
        <v/>
      </c>
      <c r="M261" s="67" t="str">
        <f t="shared" si="47"/>
        <v/>
      </c>
      <c r="O261" s="67" t="str">
        <f t="shared" si="48"/>
        <v/>
      </c>
      <c r="P261" s="67"/>
      <c r="Q261" s="67"/>
      <c r="R261" s="67"/>
      <c r="S261" s="67"/>
      <c r="T261" s="67"/>
      <c r="U261" s="67"/>
      <c r="V261" s="67"/>
      <c r="W261" s="67"/>
      <c r="X261" s="67"/>
      <c r="Y261" s="67"/>
      <c r="Z261" s="67"/>
      <c r="AA261" s="67"/>
      <c r="AB261" s="67"/>
      <c r="AC261" s="67"/>
      <c r="AD261" s="67"/>
      <c r="AE261" s="67"/>
      <c r="AF261" s="67"/>
      <c r="AG261" s="67"/>
      <c r="AH261" s="67"/>
      <c r="AI261" s="67"/>
      <c r="AJ261" s="67"/>
      <c r="AK261" s="67"/>
      <c r="AL261" s="67"/>
      <c r="AM261" s="67"/>
      <c r="AN261" s="67"/>
      <c r="AO261" s="67"/>
    </row>
    <row r="262" spans="3:41" x14ac:dyDescent="0.25">
      <c r="C262" s="94">
        <f t="shared" si="43"/>
        <v>29</v>
      </c>
      <c r="D262" s="95">
        <v>29</v>
      </c>
      <c r="E262" s="96" t="str">
        <f>BUNDESLIGA!F319&amp;IF(OR(BUNDESLIGA!G319="",BUNDESLIGA!H319=""),"",IF(BUNDESLIGA!G319&gt;BUNDESLIGA!H319,"",IF(BUNDESLIGA!G319&lt;BUNDESLIGA!H319,"","")))</f>
        <v>Hertha BSC</v>
      </c>
      <c r="F262" s="96" t="str">
        <f>BUNDESLIGA!I319&amp;IF(OR(BUNDESLIGA!G319="",BUNDESLIGA!H319=""),"",IF(BUNDESLIGA!G319&lt;BUNDESLIGA!H319,"",IF(BUNDESLIGA!G319&gt;BUNDESLIGA!H319,"","")))</f>
        <v>FC Augsburg</v>
      </c>
      <c r="G262" s="96" t="str">
        <f>IF(BUNDESLIGA!G319&lt;&gt;"",BUNDESLIGA!G319&amp;" - "&amp;BUNDESLIGA!H319,"")</f>
        <v/>
      </c>
      <c r="H262" s="96" t="str">
        <f t="shared" si="49"/>
        <v>Hertha BSC-FC Augsburg</v>
      </c>
      <c r="I262" s="96" t="str">
        <f t="shared" si="44"/>
        <v/>
      </c>
      <c r="J262" s="97" t="str">
        <f t="shared" si="45"/>
        <v/>
      </c>
      <c r="L262" s="67" t="str">
        <f t="shared" si="46"/>
        <v/>
      </c>
      <c r="M262" s="67" t="str">
        <f t="shared" si="47"/>
        <v/>
      </c>
      <c r="O262" s="67" t="str">
        <f t="shared" si="48"/>
        <v/>
      </c>
      <c r="P262" s="67"/>
      <c r="Q262" s="67"/>
      <c r="R262" s="67"/>
      <c r="S262" s="67"/>
      <c r="T262" s="67"/>
      <c r="U262" s="67"/>
      <c r="V262" s="67"/>
      <c r="W262" s="67"/>
      <c r="X262" s="67"/>
      <c r="Y262" s="67"/>
      <c r="Z262" s="67"/>
      <c r="AA262" s="67"/>
      <c r="AB262" s="67"/>
      <c r="AC262" s="67"/>
      <c r="AD262" s="67"/>
      <c r="AE262" s="67"/>
      <c r="AF262" s="67"/>
      <c r="AG262" s="67"/>
      <c r="AH262" s="67"/>
      <c r="AI262" s="67"/>
      <c r="AJ262" s="67"/>
      <c r="AK262" s="67"/>
      <c r="AL262" s="67"/>
      <c r="AM262" s="67"/>
      <c r="AN262" s="67"/>
      <c r="AO262" s="67"/>
    </row>
    <row r="263" spans="3:41" x14ac:dyDescent="0.25">
      <c r="C263" s="94" t="str">
        <f t="shared" si="43"/>
        <v/>
      </c>
      <c r="D263" s="95">
        <v>29</v>
      </c>
      <c r="E263" s="96" t="str">
        <f>BUNDESLIGA!F320&amp;IF(OR(BUNDESLIGA!G320="",BUNDESLIGA!H320=""),"",IF(BUNDESLIGA!G320&gt;BUNDESLIGA!H320,"",IF(BUNDESLIGA!G320&lt;BUNDESLIGA!H320,"","")))</f>
        <v>Bor. Mönchengladbach</v>
      </c>
      <c r="F263" s="96" t="str">
        <f>BUNDESLIGA!I320&amp;IF(OR(BUNDESLIGA!G320="",BUNDESLIGA!H320=""),"",IF(BUNDESLIGA!G320&lt;BUNDESLIGA!H320,"",IF(BUNDESLIGA!G320&gt;BUNDESLIGA!H320,"","")))</f>
        <v>1. FC Union Berlin</v>
      </c>
      <c r="G263" s="96" t="str">
        <f>IF(BUNDESLIGA!G320&lt;&gt;"",BUNDESLIGA!G320&amp;" - "&amp;BUNDESLIGA!H320,"")</f>
        <v/>
      </c>
      <c r="H263" s="96" t="str">
        <f t="shared" si="49"/>
        <v>Bor. Mönchengladbach-1. FC Union Berlin</v>
      </c>
      <c r="I263" s="96" t="str">
        <f t="shared" si="44"/>
        <v/>
      </c>
      <c r="J263" s="97" t="str">
        <f t="shared" si="45"/>
        <v/>
      </c>
      <c r="L263" s="67" t="str">
        <f t="shared" si="46"/>
        <v/>
      </c>
      <c r="M263" s="67" t="str">
        <f t="shared" si="47"/>
        <v/>
      </c>
      <c r="O263" s="67" t="str">
        <f t="shared" si="48"/>
        <v/>
      </c>
      <c r="P263" s="67"/>
      <c r="Q263" s="67"/>
      <c r="R263" s="67"/>
      <c r="S263" s="67"/>
      <c r="T263" s="67"/>
      <c r="U263" s="67"/>
      <c r="V263" s="67"/>
      <c r="W263" s="67"/>
      <c r="X263" s="67"/>
      <c r="Y263" s="67"/>
      <c r="Z263" s="67"/>
      <c r="AA263" s="67"/>
      <c r="AB263" s="67"/>
      <c r="AC263" s="67"/>
      <c r="AD263" s="67"/>
      <c r="AE263" s="67"/>
      <c r="AF263" s="67"/>
      <c r="AG263" s="67"/>
      <c r="AH263" s="67"/>
      <c r="AI263" s="67"/>
      <c r="AJ263" s="67"/>
      <c r="AK263" s="67"/>
      <c r="AL263" s="67"/>
      <c r="AM263" s="67"/>
      <c r="AN263" s="67"/>
      <c r="AO263" s="67"/>
    </row>
    <row r="264" spans="3:41" x14ac:dyDescent="0.25">
      <c r="C264" s="94" t="str">
        <f t="shared" si="43"/>
        <v/>
      </c>
      <c r="D264" s="95">
        <v>30</v>
      </c>
      <c r="E264" s="96" t="str">
        <f>BUNDESLIGA!F323&amp;IF(OR(BUNDESLIGA!G323="",BUNDESLIGA!H323=""),"",IF(BUNDESLIGA!G323&gt;BUNDESLIGA!H323,"",IF(BUNDESLIGA!G323&lt;BUNDESLIGA!H323,"","")))</f>
        <v>Bayer Leverkusen</v>
      </c>
      <c r="F264" s="96" t="str">
        <f>BUNDESLIGA!I323&amp;IF(OR(BUNDESLIGA!G323="",BUNDESLIGA!H323=""),"",IF(BUNDESLIGA!G323&lt;BUNDESLIGA!H323,"",IF(BUNDESLIGA!G323&gt;BUNDESLIGA!H323,"","")))</f>
        <v>Bayern München</v>
      </c>
      <c r="G264" s="96" t="str">
        <f>IF(BUNDESLIGA!G323&lt;&gt;"",BUNDESLIGA!G323&amp;" - "&amp;BUNDESLIGA!H323,"")</f>
        <v/>
      </c>
      <c r="H264" s="96" t="str">
        <f t="shared" si="49"/>
        <v>Bayer Leverkusen-Bayern München</v>
      </c>
      <c r="I264" s="96" t="str">
        <f t="shared" si="44"/>
        <v/>
      </c>
      <c r="J264" s="97" t="str">
        <f t="shared" si="45"/>
        <v/>
      </c>
      <c r="L264" s="67" t="str">
        <f t="shared" si="46"/>
        <v/>
      </c>
      <c r="M264" s="67" t="str">
        <f t="shared" si="47"/>
        <v/>
      </c>
      <c r="O264" s="67" t="str">
        <f t="shared" si="48"/>
        <v/>
      </c>
      <c r="P264" s="67"/>
      <c r="Q264" s="67"/>
      <c r="R264" s="67"/>
      <c r="S264" s="67"/>
      <c r="T264" s="67"/>
      <c r="U264" s="67"/>
      <c r="V264" s="67"/>
      <c r="W264" s="67"/>
      <c r="X264" s="67"/>
      <c r="Y264" s="67"/>
      <c r="Z264" s="67"/>
      <c r="AA264" s="67"/>
      <c r="AB264" s="67"/>
      <c r="AC264" s="67"/>
      <c r="AD264" s="67"/>
      <c r="AE264" s="67"/>
      <c r="AF264" s="67"/>
      <c r="AG264" s="67"/>
      <c r="AH264" s="67"/>
      <c r="AI264" s="67"/>
      <c r="AJ264" s="67"/>
      <c r="AK264" s="67"/>
      <c r="AL264" s="67"/>
      <c r="AM264" s="67"/>
      <c r="AN264" s="67"/>
      <c r="AO264" s="67"/>
    </row>
    <row r="265" spans="3:41" x14ac:dyDescent="0.25">
      <c r="C265" s="94" t="str">
        <f t="shared" si="43"/>
        <v/>
      </c>
      <c r="D265" s="95">
        <v>30</v>
      </c>
      <c r="E265" s="96" t="str">
        <f>BUNDESLIGA!F324&amp;IF(OR(BUNDESLIGA!G324="",BUNDESLIGA!H324=""),"",IF(BUNDESLIGA!G324&gt;BUNDESLIGA!H324,"",IF(BUNDESLIGA!G324&lt;BUNDESLIGA!H324,"","")))</f>
        <v>SC Freiburg</v>
      </c>
      <c r="F265" s="96" t="str">
        <f>BUNDESLIGA!I324&amp;IF(OR(BUNDESLIGA!G324="",BUNDESLIGA!H324=""),"",IF(BUNDESLIGA!G324&lt;BUNDESLIGA!H324,"",IF(BUNDESLIGA!G324&gt;BUNDESLIGA!H324,"","")))</f>
        <v>Bor. Mönchengladbach</v>
      </c>
      <c r="G265" s="96" t="str">
        <f>IF(BUNDESLIGA!G324&lt;&gt;"",BUNDESLIGA!G324&amp;" - "&amp;BUNDESLIGA!H324,"")</f>
        <v/>
      </c>
      <c r="H265" s="96" t="str">
        <f t="shared" si="49"/>
        <v>SC Freiburg-Bor. Mönchengladbach</v>
      </c>
      <c r="I265" s="96" t="str">
        <f t="shared" si="44"/>
        <v/>
      </c>
      <c r="J265" s="97" t="str">
        <f t="shared" si="45"/>
        <v/>
      </c>
      <c r="L265" s="67" t="str">
        <f t="shared" si="46"/>
        <v/>
      </c>
      <c r="M265" s="67" t="str">
        <f t="shared" si="47"/>
        <v/>
      </c>
      <c r="O265" s="67" t="str">
        <f t="shared" si="48"/>
        <v/>
      </c>
      <c r="P265" s="67"/>
      <c r="Q265" s="67"/>
      <c r="R265" s="67"/>
      <c r="S265" s="67"/>
      <c r="T265" s="67"/>
      <c r="U265" s="67"/>
      <c r="V265" s="67"/>
      <c r="W265" s="67"/>
      <c r="X265" s="67"/>
      <c r="Y265" s="67"/>
      <c r="Z265" s="67"/>
      <c r="AA265" s="67"/>
      <c r="AB265" s="67"/>
      <c r="AC265" s="67"/>
      <c r="AD265" s="67"/>
      <c r="AE265" s="67"/>
      <c r="AF265" s="67"/>
      <c r="AG265" s="67"/>
      <c r="AH265" s="67"/>
      <c r="AI265" s="67"/>
      <c r="AJ265" s="67"/>
      <c r="AK265" s="67"/>
      <c r="AL265" s="67"/>
      <c r="AM265" s="67"/>
      <c r="AN265" s="67"/>
      <c r="AO265" s="67"/>
    </row>
    <row r="266" spans="3:41" x14ac:dyDescent="0.25">
      <c r="C266" s="94" t="str">
        <f t="shared" si="43"/>
        <v/>
      </c>
      <c r="D266" s="95">
        <v>30</v>
      </c>
      <c r="E266" s="96" t="str">
        <f>BUNDESLIGA!F325&amp;IF(OR(BUNDESLIGA!G325="",BUNDESLIGA!H325=""),"",IF(BUNDESLIGA!G325&gt;BUNDESLIGA!H325,"",IF(BUNDESLIGA!G325&lt;BUNDESLIGA!H325,"","")))</f>
        <v>Werder Bremen</v>
      </c>
      <c r="F266" s="96" t="str">
        <f>BUNDESLIGA!I325&amp;IF(OR(BUNDESLIGA!G325="",BUNDESLIGA!H325=""),"",IF(BUNDESLIGA!G325&lt;BUNDESLIGA!H325,"",IF(BUNDESLIGA!G325&gt;BUNDESLIGA!H325,"","")))</f>
        <v>VfL Wolfsburg</v>
      </c>
      <c r="G266" s="96" t="str">
        <f>IF(BUNDESLIGA!G325&lt;&gt;"",BUNDESLIGA!G325&amp;" - "&amp;BUNDESLIGA!H325,"")</f>
        <v/>
      </c>
      <c r="H266" s="96" t="str">
        <f t="shared" si="49"/>
        <v>Werder Bremen-VfL Wolfsburg</v>
      </c>
      <c r="I266" s="96" t="str">
        <f t="shared" si="44"/>
        <v/>
      </c>
      <c r="J266" s="97" t="str">
        <f t="shared" si="45"/>
        <v/>
      </c>
      <c r="L266" s="67" t="str">
        <f t="shared" si="46"/>
        <v/>
      </c>
      <c r="M266" s="67" t="str">
        <f t="shared" si="47"/>
        <v/>
      </c>
      <c r="O266" s="67" t="str">
        <f t="shared" si="48"/>
        <v/>
      </c>
      <c r="P266" s="67"/>
      <c r="Q266" s="67"/>
      <c r="R266" s="67"/>
      <c r="S266" s="67"/>
      <c r="T266" s="67"/>
      <c r="U266" s="67"/>
      <c r="V266" s="67"/>
      <c r="W266" s="67"/>
      <c r="X266" s="67"/>
      <c r="Y266" s="67"/>
      <c r="Z266" s="67"/>
      <c r="AA266" s="67"/>
      <c r="AB266" s="67"/>
      <c r="AC266" s="67"/>
      <c r="AD266" s="67"/>
      <c r="AE266" s="67"/>
      <c r="AF266" s="67"/>
      <c r="AG266" s="67"/>
      <c r="AH266" s="67"/>
      <c r="AI266" s="67"/>
      <c r="AJ266" s="67"/>
      <c r="AK266" s="67"/>
      <c r="AL266" s="67"/>
      <c r="AM266" s="67"/>
      <c r="AN266" s="67"/>
      <c r="AO266" s="67"/>
    </row>
    <row r="267" spans="3:41" x14ac:dyDescent="0.25">
      <c r="C267" s="94" t="str">
        <f t="shared" si="43"/>
        <v/>
      </c>
      <c r="D267" s="95">
        <v>30</v>
      </c>
      <c r="E267" s="96" t="str">
        <f>BUNDESLIGA!F326&amp;IF(OR(BUNDESLIGA!G326="",BUNDESLIGA!H326=""),"",IF(BUNDESLIGA!G326&gt;BUNDESLIGA!H326,"",IF(BUNDESLIGA!G326&lt;BUNDESLIGA!H326,"","")))</f>
        <v>Fortuna Düsseldorf</v>
      </c>
      <c r="F267" s="96" t="str">
        <f>BUNDESLIGA!I326&amp;IF(OR(BUNDESLIGA!G326="",BUNDESLIGA!H326=""),"",IF(BUNDESLIGA!G326&lt;BUNDESLIGA!H326,"",IF(BUNDESLIGA!G326&gt;BUNDESLIGA!H326,"","")))</f>
        <v>1899 Hoffenheim</v>
      </c>
      <c r="G267" s="96" t="str">
        <f>IF(BUNDESLIGA!G326&lt;&gt;"",BUNDESLIGA!G326&amp;" - "&amp;BUNDESLIGA!H326,"")</f>
        <v/>
      </c>
      <c r="H267" s="96" t="str">
        <f t="shared" si="49"/>
        <v>Fortuna Düsseldorf-1899 Hoffenheim</v>
      </c>
      <c r="I267" s="96" t="str">
        <f t="shared" si="44"/>
        <v/>
      </c>
      <c r="J267" s="97" t="str">
        <f t="shared" si="45"/>
        <v/>
      </c>
      <c r="L267" s="67" t="str">
        <f t="shared" si="46"/>
        <v/>
      </c>
      <c r="M267" s="67" t="str">
        <f t="shared" si="47"/>
        <v/>
      </c>
      <c r="O267" s="67" t="str">
        <f t="shared" si="48"/>
        <v/>
      </c>
      <c r="P267" s="67"/>
      <c r="Q267" s="67"/>
      <c r="R267" s="67"/>
      <c r="S267" s="67"/>
      <c r="T267" s="67"/>
      <c r="U267" s="67"/>
      <c r="V267" s="67"/>
      <c r="W267" s="67"/>
      <c r="X267" s="67"/>
      <c r="Y267" s="67"/>
      <c r="Z267" s="67"/>
      <c r="AA267" s="67"/>
      <c r="AB267" s="67"/>
      <c r="AC267" s="67"/>
      <c r="AD267" s="67"/>
      <c r="AE267" s="67"/>
      <c r="AF267" s="67"/>
      <c r="AG267" s="67"/>
      <c r="AH267" s="67"/>
      <c r="AI267" s="67"/>
      <c r="AJ267" s="67"/>
      <c r="AK267" s="67"/>
      <c r="AL267" s="67"/>
      <c r="AM267" s="67"/>
      <c r="AN267" s="67"/>
      <c r="AO267" s="67"/>
    </row>
    <row r="268" spans="3:41" x14ac:dyDescent="0.25">
      <c r="C268" s="94" t="str">
        <f t="shared" si="43"/>
        <v/>
      </c>
      <c r="D268" s="95">
        <v>30</v>
      </c>
      <c r="E268" s="96" t="str">
        <f>BUNDESLIGA!F327&amp;IF(OR(BUNDESLIGA!G327="",BUNDESLIGA!H327=""),"",IF(BUNDESLIGA!G327&gt;BUNDESLIGA!H327,"",IF(BUNDESLIGA!G327&lt;BUNDESLIGA!H327,"","")))</f>
        <v>Borussia Dortmund</v>
      </c>
      <c r="F268" s="96" t="str">
        <f>BUNDESLIGA!I327&amp;IF(OR(BUNDESLIGA!G327="",BUNDESLIGA!H327=""),"",IF(BUNDESLIGA!G327&lt;BUNDESLIGA!H327,"",IF(BUNDESLIGA!G327&gt;BUNDESLIGA!H327,"","")))</f>
        <v>Hertha BSC</v>
      </c>
      <c r="G268" s="96" t="str">
        <f>IF(BUNDESLIGA!G327&lt;&gt;"",BUNDESLIGA!G327&amp;" - "&amp;BUNDESLIGA!H327,"")</f>
        <v/>
      </c>
      <c r="H268" s="96" t="str">
        <f t="shared" si="49"/>
        <v>Borussia Dortmund-Hertha BSC</v>
      </c>
      <c r="I268" s="96" t="str">
        <f t="shared" si="44"/>
        <v/>
      </c>
      <c r="J268" s="97" t="str">
        <f t="shared" si="45"/>
        <v/>
      </c>
      <c r="L268" s="67" t="str">
        <f t="shared" si="46"/>
        <v/>
      </c>
      <c r="M268" s="67" t="str">
        <f t="shared" si="47"/>
        <v/>
      </c>
      <c r="O268" s="67" t="str">
        <f t="shared" si="48"/>
        <v/>
      </c>
      <c r="P268" s="67"/>
      <c r="Q268" s="67"/>
      <c r="R268" s="67"/>
      <c r="S268" s="67"/>
      <c r="T268" s="67"/>
      <c r="U268" s="67"/>
      <c r="V268" s="67"/>
      <c r="W268" s="67"/>
      <c r="X268" s="67"/>
      <c r="Y268" s="67"/>
      <c r="Z268" s="67"/>
      <c r="AA268" s="67"/>
      <c r="AB268" s="67"/>
      <c r="AC268" s="67"/>
      <c r="AD268" s="67"/>
      <c r="AE268" s="67"/>
      <c r="AF268" s="67"/>
      <c r="AG268" s="67"/>
      <c r="AH268" s="67"/>
      <c r="AI268" s="67"/>
      <c r="AJ268" s="67"/>
      <c r="AK268" s="67"/>
      <c r="AL268" s="67"/>
      <c r="AM268" s="67"/>
      <c r="AN268" s="67"/>
      <c r="AO268" s="67"/>
    </row>
    <row r="269" spans="3:41" x14ac:dyDescent="0.25">
      <c r="C269" s="94" t="str">
        <f t="shared" si="43"/>
        <v/>
      </c>
      <c r="D269" s="95">
        <v>30</v>
      </c>
      <c r="E269" s="96" t="str">
        <f>BUNDESLIGA!F328&amp;IF(OR(BUNDESLIGA!G328="",BUNDESLIGA!H328=""),"",IF(BUNDESLIGA!G328&gt;BUNDESLIGA!H328,"",IF(BUNDESLIGA!G328&lt;BUNDESLIGA!H328,"","")))</f>
        <v>Eintracht Frankfurt</v>
      </c>
      <c r="F269" s="96" t="str">
        <f>BUNDESLIGA!I328&amp;IF(OR(BUNDESLIGA!G328="",BUNDESLIGA!H328=""),"",IF(BUNDESLIGA!G328&lt;BUNDESLIGA!H328,"",IF(BUNDESLIGA!G328&gt;BUNDESLIGA!H328,"","")))</f>
        <v>1. FSV Mainz 05</v>
      </c>
      <c r="G269" s="96" t="str">
        <f>IF(BUNDESLIGA!G328&lt;&gt;"",BUNDESLIGA!G328&amp;" - "&amp;BUNDESLIGA!H328,"")</f>
        <v/>
      </c>
      <c r="H269" s="96" t="str">
        <f t="shared" si="49"/>
        <v>Eintracht Frankfurt-1. FSV Mainz 05</v>
      </c>
      <c r="I269" s="96" t="str">
        <f t="shared" si="44"/>
        <v/>
      </c>
      <c r="J269" s="97" t="str">
        <f t="shared" si="45"/>
        <v/>
      </c>
      <c r="L269" s="67" t="str">
        <f t="shared" si="46"/>
        <v/>
      </c>
      <c r="M269" s="67" t="str">
        <f t="shared" si="47"/>
        <v/>
      </c>
      <c r="O269" s="67" t="str">
        <f t="shared" si="48"/>
        <v/>
      </c>
      <c r="P269" s="67"/>
      <c r="Q269" s="67"/>
      <c r="R269" s="67"/>
      <c r="S269" s="67"/>
      <c r="T269" s="67"/>
      <c r="U269" s="67"/>
      <c r="V269" s="67"/>
      <c r="W269" s="67"/>
      <c r="X269" s="67"/>
      <c r="Y269" s="67"/>
      <c r="Z269" s="67"/>
      <c r="AA269" s="67"/>
      <c r="AB269" s="67"/>
      <c r="AC269" s="67"/>
      <c r="AD269" s="67"/>
      <c r="AE269" s="67"/>
      <c r="AF269" s="67"/>
      <c r="AG269" s="67"/>
      <c r="AH269" s="67"/>
      <c r="AI269" s="67"/>
      <c r="AJ269" s="67"/>
      <c r="AK269" s="67"/>
      <c r="AL269" s="67"/>
      <c r="AM269" s="67"/>
      <c r="AN269" s="67"/>
      <c r="AO269" s="67"/>
    </row>
    <row r="270" spans="3:41" x14ac:dyDescent="0.25">
      <c r="C270" s="94" t="str">
        <f t="shared" si="43"/>
        <v/>
      </c>
      <c r="D270" s="95">
        <v>30</v>
      </c>
      <c r="E270" s="96" t="str">
        <f>BUNDESLIGA!F329&amp;IF(OR(BUNDESLIGA!G329="",BUNDESLIGA!H329=""),"",IF(BUNDESLIGA!G329&gt;BUNDESLIGA!H329,"",IF(BUNDESLIGA!G329&lt;BUNDESLIGA!H329,"","")))</f>
        <v>1. FC Union Berlin</v>
      </c>
      <c r="F270" s="96" t="str">
        <f>BUNDESLIGA!I329&amp;IF(OR(BUNDESLIGA!G329="",BUNDESLIGA!H329=""),"",IF(BUNDESLIGA!G329&lt;BUNDESLIGA!H329,"",IF(BUNDESLIGA!G329&gt;BUNDESLIGA!H329,"","")))</f>
        <v>FC Schalke 04</v>
      </c>
      <c r="G270" s="96" t="str">
        <f>IF(BUNDESLIGA!G329&lt;&gt;"",BUNDESLIGA!G329&amp;" - "&amp;BUNDESLIGA!H329,"")</f>
        <v/>
      </c>
      <c r="H270" s="96" t="str">
        <f t="shared" si="49"/>
        <v>1. FC Union Berlin-FC Schalke 04</v>
      </c>
      <c r="I270" s="96" t="str">
        <f t="shared" si="44"/>
        <v/>
      </c>
      <c r="J270" s="97" t="str">
        <f t="shared" si="45"/>
        <v/>
      </c>
      <c r="L270" s="67" t="str">
        <f t="shared" si="46"/>
        <v/>
      </c>
      <c r="M270" s="67" t="str">
        <f t="shared" si="47"/>
        <v/>
      </c>
      <c r="O270" s="67" t="str">
        <f t="shared" si="48"/>
        <v/>
      </c>
      <c r="P270" s="67"/>
      <c r="Q270" s="67"/>
      <c r="R270" s="67"/>
      <c r="S270" s="67"/>
      <c r="T270" s="67"/>
      <c r="U270" s="67"/>
      <c r="V270" s="67"/>
      <c r="W270" s="67"/>
      <c r="X270" s="67"/>
      <c r="Y270" s="67"/>
      <c r="Z270" s="67"/>
      <c r="AA270" s="67"/>
      <c r="AB270" s="67"/>
      <c r="AC270" s="67"/>
      <c r="AD270" s="67"/>
      <c r="AE270" s="67"/>
      <c r="AF270" s="67"/>
      <c r="AG270" s="67"/>
      <c r="AH270" s="67"/>
      <c r="AI270" s="67"/>
      <c r="AJ270" s="67"/>
      <c r="AK270" s="67"/>
      <c r="AL270" s="67"/>
      <c r="AM270" s="67"/>
      <c r="AN270" s="67"/>
      <c r="AO270" s="67"/>
    </row>
    <row r="271" spans="3:41" x14ac:dyDescent="0.25">
      <c r="C271" s="94">
        <f t="shared" si="43"/>
        <v>30</v>
      </c>
      <c r="D271" s="95">
        <v>30</v>
      </c>
      <c r="E271" s="96" t="str">
        <f>BUNDESLIGA!F330&amp;IF(OR(BUNDESLIGA!G330="",BUNDESLIGA!H330=""),"",IF(BUNDESLIGA!G330&gt;BUNDESLIGA!H330,"",IF(BUNDESLIGA!G330&lt;BUNDESLIGA!H330,"","")))</f>
        <v>FC Augsburg</v>
      </c>
      <c r="F271" s="96" t="str">
        <f>BUNDESLIGA!I330&amp;IF(OR(BUNDESLIGA!G330="",BUNDESLIGA!H330=""),"",IF(BUNDESLIGA!G330&lt;BUNDESLIGA!H330,"",IF(BUNDESLIGA!G330&gt;BUNDESLIGA!H330,"","")))</f>
        <v>1. FC Köln</v>
      </c>
      <c r="G271" s="96" t="str">
        <f>IF(BUNDESLIGA!G330&lt;&gt;"",BUNDESLIGA!G330&amp;" - "&amp;BUNDESLIGA!H330,"")</f>
        <v/>
      </c>
      <c r="H271" s="96" t="str">
        <f t="shared" si="49"/>
        <v>FC Augsburg-1. FC Köln</v>
      </c>
      <c r="I271" s="96" t="str">
        <f t="shared" si="44"/>
        <v/>
      </c>
      <c r="J271" s="97" t="str">
        <f t="shared" si="45"/>
        <v/>
      </c>
      <c r="L271" s="67" t="str">
        <f t="shared" si="46"/>
        <v/>
      </c>
      <c r="M271" s="67" t="str">
        <f t="shared" si="47"/>
        <v/>
      </c>
      <c r="O271" s="67" t="str">
        <f t="shared" si="48"/>
        <v/>
      </c>
      <c r="P271" s="67"/>
      <c r="Q271" s="67"/>
      <c r="R271" s="67"/>
      <c r="S271" s="67"/>
      <c r="T271" s="67"/>
      <c r="U271" s="67"/>
      <c r="V271" s="67"/>
      <c r="W271" s="67"/>
      <c r="X271" s="67"/>
      <c r="Y271" s="67"/>
      <c r="Z271" s="67"/>
      <c r="AA271" s="67"/>
      <c r="AB271" s="67"/>
      <c r="AC271" s="67"/>
      <c r="AD271" s="67"/>
      <c r="AE271" s="67"/>
      <c r="AF271" s="67"/>
      <c r="AG271" s="67"/>
      <c r="AH271" s="67"/>
      <c r="AI271" s="67"/>
      <c r="AJ271" s="67"/>
      <c r="AK271" s="67"/>
      <c r="AL271" s="67"/>
      <c r="AM271" s="67"/>
      <c r="AN271" s="67"/>
      <c r="AO271" s="67"/>
    </row>
    <row r="272" spans="3:41" x14ac:dyDescent="0.25">
      <c r="C272" s="94" t="str">
        <f t="shared" si="43"/>
        <v/>
      </c>
      <c r="D272" s="95">
        <v>30</v>
      </c>
      <c r="E272" s="96" t="str">
        <f>BUNDESLIGA!F331&amp;IF(OR(BUNDESLIGA!G331="",BUNDESLIGA!H331=""),"",IF(BUNDESLIGA!G331&gt;BUNDESLIGA!H331,"",IF(BUNDESLIGA!G331&lt;BUNDESLIGA!H331,"","")))</f>
        <v>RB Leipzig</v>
      </c>
      <c r="F272" s="96" t="str">
        <f>BUNDESLIGA!I331&amp;IF(OR(BUNDESLIGA!G331="",BUNDESLIGA!H331=""),"",IF(BUNDESLIGA!G331&lt;BUNDESLIGA!H331,"",IF(BUNDESLIGA!G331&gt;BUNDESLIGA!H331,"","")))</f>
        <v>SC Paderborn 07</v>
      </c>
      <c r="G272" s="96" t="str">
        <f>IF(BUNDESLIGA!G331&lt;&gt;"",BUNDESLIGA!G331&amp;" - "&amp;BUNDESLIGA!H331,"")</f>
        <v/>
      </c>
      <c r="H272" s="96" t="str">
        <f t="shared" si="49"/>
        <v>RB Leipzig-SC Paderborn 07</v>
      </c>
      <c r="I272" s="96" t="str">
        <f t="shared" si="44"/>
        <v/>
      </c>
      <c r="J272" s="97" t="str">
        <f t="shared" si="45"/>
        <v/>
      </c>
      <c r="L272" s="67" t="str">
        <f t="shared" si="46"/>
        <v/>
      </c>
      <c r="M272" s="67" t="str">
        <f t="shared" si="47"/>
        <v/>
      </c>
      <c r="O272" s="67" t="str">
        <f t="shared" si="48"/>
        <v/>
      </c>
      <c r="P272" s="67"/>
      <c r="Q272" s="67"/>
      <c r="R272" s="67"/>
      <c r="S272" s="67"/>
      <c r="T272" s="67"/>
      <c r="U272" s="67"/>
      <c r="V272" s="67"/>
      <c r="W272" s="67"/>
      <c r="X272" s="67"/>
      <c r="Y272" s="67"/>
      <c r="Z272" s="67"/>
      <c r="AA272" s="67"/>
      <c r="AB272" s="67"/>
      <c r="AC272" s="67"/>
      <c r="AD272" s="67"/>
      <c r="AE272" s="67"/>
      <c r="AF272" s="67"/>
      <c r="AG272" s="67"/>
      <c r="AH272" s="67"/>
      <c r="AI272" s="67"/>
      <c r="AJ272" s="67"/>
      <c r="AK272" s="67"/>
      <c r="AL272" s="67"/>
      <c r="AM272" s="67"/>
      <c r="AN272" s="67"/>
      <c r="AO272" s="67"/>
    </row>
    <row r="273" spans="3:41" x14ac:dyDescent="0.25">
      <c r="C273" s="94" t="str">
        <f t="shared" si="43"/>
        <v/>
      </c>
      <c r="D273" s="95">
        <v>31</v>
      </c>
      <c r="E273" s="96" t="str">
        <f>BUNDESLIGA!F334&amp;IF(OR(BUNDESLIGA!G334="",BUNDESLIGA!H334=""),"",IF(BUNDESLIGA!G334&gt;BUNDESLIGA!H334,"",IF(BUNDESLIGA!G334&lt;BUNDESLIGA!H334,"","")))</f>
        <v>Fortuna Düsseldorf</v>
      </c>
      <c r="F273" s="96" t="str">
        <f>BUNDESLIGA!I334&amp;IF(OR(BUNDESLIGA!G334="",BUNDESLIGA!H334=""),"",IF(BUNDESLIGA!G334&lt;BUNDESLIGA!H334,"",IF(BUNDESLIGA!G334&gt;BUNDESLIGA!H334,"","")))</f>
        <v>Borussia Dortmund</v>
      </c>
      <c r="G273" s="96" t="str">
        <f>IF(BUNDESLIGA!G334&lt;&gt;"",BUNDESLIGA!G334&amp;" - "&amp;BUNDESLIGA!H334,"")</f>
        <v/>
      </c>
      <c r="H273" s="96" t="str">
        <f t="shared" si="49"/>
        <v>Fortuna Düsseldorf-Borussia Dortmund</v>
      </c>
      <c r="I273" s="96" t="str">
        <f t="shared" si="44"/>
        <v/>
      </c>
      <c r="J273" s="97" t="str">
        <f t="shared" si="45"/>
        <v/>
      </c>
      <c r="L273" s="67" t="str">
        <f t="shared" si="46"/>
        <v/>
      </c>
      <c r="M273" s="67" t="str">
        <f t="shared" si="47"/>
        <v/>
      </c>
      <c r="O273" s="67" t="str">
        <f t="shared" si="48"/>
        <v/>
      </c>
      <c r="P273" s="67"/>
      <c r="Q273" s="67"/>
      <c r="R273" s="67"/>
      <c r="S273" s="67"/>
      <c r="T273" s="67"/>
      <c r="U273" s="67"/>
      <c r="V273" s="67"/>
      <c r="W273" s="67"/>
      <c r="X273" s="67"/>
      <c r="Y273" s="67"/>
      <c r="Z273" s="67"/>
      <c r="AA273" s="67"/>
      <c r="AB273" s="67"/>
      <c r="AC273" s="67"/>
      <c r="AD273" s="67"/>
      <c r="AE273" s="67"/>
      <c r="AF273" s="67"/>
      <c r="AG273" s="67"/>
      <c r="AH273" s="67"/>
      <c r="AI273" s="67"/>
      <c r="AJ273" s="67"/>
      <c r="AK273" s="67"/>
      <c r="AL273" s="67"/>
      <c r="AM273" s="67"/>
      <c r="AN273" s="67"/>
      <c r="AO273" s="67"/>
    </row>
    <row r="274" spans="3:41" x14ac:dyDescent="0.25">
      <c r="C274" s="94" t="str">
        <f t="shared" si="43"/>
        <v/>
      </c>
      <c r="D274" s="95">
        <v>31</v>
      </c>
      <c r="E274" s="96" t="str">
        <f>BUNDESLIGA!F335&amp;IF(OR(BUNDESLIGA!G335="",BUNDESLIGA!H335=""),"",IF(BUNDESLIGA!G335&gt;BUNDESLIGA!H335,"",IF(BUNDESLIGA!G335&lt;BUNDESLIGA!H335,"","")))</f>
        <v>1899 Hoffenheim</v>
      </c>
      <c r="F274" s="96" t="str">
        <f>BUNDESLIGA!I335&amp;IF(OR(BUNDESLIGA!G335="",BUNDESLIGA!H335=""),"",IF(BUNDESLIGA!G335&lt;BUNDESLIGA!H335,"",IF(BUNDESLIGA!G335&gt;BUNDESLIGA!H335,"","")))</f>
        <v>RB Leipzig</v>
      </c>
      <c r="G274" s="96" t="str">
        <f>IF(BUNDESLIGA!G335&lt;&gt;"",BUNDESLIGA!G335&amp;" - "&amp;BUNDESLIGA!H335,"")</f>
        <v/>
      </c>
      <c r="H274" s="96" t="str">
        <f t="shared" si="49"/>
        <v>1899 Hoffenheim-RB Leipzig</v>
      </c>
      <c r="I274" s="96" t="str">
        <f t="shared" si="44"/>
        <v/>
      </c>
      <c r="J274" s="97" t="str">
        <f t="shared" si="45"/>
        <v/>
      </c>
      <c r="L274" s="67" t="str">
        <f t="shared" si="46"/>
        <v/>
      </c>
      <c r="M274" s="67" t="str">
        <f t="shared" si="47"/>
        <v/>
      </c>
      <c r="O274" s="67" t="str">
        <f t="shared" si="48"/>
        <v/>
      </c>
      <c r="P274" s="67"/>
      <c r="Q274" s="67"/>
      <c r="R274" s="67"/>
      <c r="S274" s="67"/>
      <c r="T274" s="67"/>
      <c r="U274" s="67"/>
      <c r="V274" s="67"/>
      <c r="W274" s="67"/>
      <c r="X274" s="67"/>
      <c r="Y274" s="67"/>
      <c r="Z274" s="67"/>
      <c r="AA274" s="67"/>
      <c r="AB274" s="67"/>
      <c r="AC274" s="67"/>
      <c r="AD274" s="67"/>
      <c r="AE274" s="67"/>
      <c r="AF274" s="67"/>
      <c r="AG274" s="67"/>
      <c r="AH274" s="67"/>
      <c r="AI274" s="67"/>
      <c r="AJ274" s="67"/>
      <c r="AK274" s="67"/>
      <c r="AL274" s="67"/>
      <c r="AM274" s="67"/>
      <c r="AN274" s="67"/>
      <c r="AO274" s="67"/>
    </row>
    <row r="275" spans="3:41" x14ac:dyDescent="0.25">
      <c r="C275" s="94" t="str">
        <f t="shared" si="43"/>
        <v/>
      </c>
      <c r="D275" s="95">
        <v>31</v>
      </c>
      <c r="E275" s="96" t="str">
        <f>BUNDESLIGA!F336&amp;IF(OR(BUNDESLIGA!G336="",BUNDESLIGA!H336=""),"",IF(BUNDESLIGA!G336&gt;BUNDESLIGA!H336,"",IF(BUNDESLIGA!G336&lt;BUNDESLIGA!H336,"","")))</f>
        <v>FC Schalke 04</v>
      </c>
      <c r="F275" s="96" t="str">
        <f>BUNDESLIGA!I336&amp;IF(OR(BUNDESLIGA!G336="",BUNDESLIGA!H336=""),"",IF(BUNDESLIGA!G336&lt;BUNDESLIGA!H336,"",IF(BUNDESLIGA!G336&gt;BUNDESLIGA!H336,"","")))</f>
        <v>Bayer Leverkusen</v>
      </c>
      <c r="G275" s="96" t="str">
        <f>IF(BUNDESLIGA!G336&lt;&gt;"",BUNDESLIGA!G336&amp;" - "&amp;BUNDESLIGA!H336,"")</f>
        <v/>
      </c>
      <c r="H275" s="96" t="str">
        <f t="shared" si="49"/>
        <v>FC Schalke 04-Bayer Leverkusen</v>
      </c>
      <c r="I275" s="96" t="str">
        <f t="shared" si="44"/>
        <v/>
      </c>
      <c r="J275" s="97" t="str">
        <f t="shared" si="45"/>
        <v/>
      </c>
      <c r="L275" s="67" t="str">
        <f t="shared" si="46"/>
        <v/>
      </c>
      <c r="M275" s="67" t="str">
        <f t="shared" si="47"/>
        <v/>
      </c>
      <c r="O275" s="67" t="str">
        <f t="shared" si="48"/>
        <v/>
      </c>
      <c r="P275" s="67"/>
      <c r="Q275" s="67"/>
      <c r="R275" s="67"/>
      <c r="S275" s="67"/>
      <c r="T275" s="67"/>
      <c r="U275" s="67"/>
      <c r="V275" s="67"/>
      <c r="W275" s="67"/>
      <c r="X275" s="67"/>
      <c r="Y275" s="67"/>
      <c r="Z275" s="67"/>
      <c r="AA275" s="67"/>
      <c r="AB275" s="67"/>
      <c r="AC275" s="67"/>
      <c r="AD275" s="67"/>
      <c r="AE275" s="67"/>
      <c r="AF275" s="67"/>
      <c r="AG275" s="67"/>
      <c r="AH275" s="67"/>
      <c r="AI275" s="67"/>
      <c r="AJ275" s="67"/>
      <c r="AK275" s="67"/>
      <c r="AL275" s="67"/>
      <c r="AM275" s="67"/>
      <c r="AN275" s="67"/>
      <c r="AO275" s="67"/>
    </row>
    <row r="276" spans="3:41" x14ac:dyDescent="0.25">
      <c r="C276" s="94" t="str">
        <f t="shared" si="43"/>
        <v/>
      </c>
      <c r="D276" s="95">
        <v>31</v>
      </c>
      <c r="E276" s="96" t="str">
        <f>BUNDESLIGA!F337&amp;IF(OR(BUNDESLIGA!G337="",BUNDESLIGA!H337=""),"",IF(BUNDESLIGA!G337&gt;BUNDESLIGA!H337,"",IF(BUNDESLIGA!G337&lt;BUNDESLIGA!H337,"","")))</f>
        <v>Bayern München</v>
      </c>
      <c r="F276" s="96" t="str">
        <f>BUNDESLIGA!I337&amp;IF(OR(BUNDESLIGA!G337="",BUNDESLIGA!H337=""),"",IF(BUNDESLIGA!G337&lt;BUNDESLIGA!H337,"",IF(BUNDESLIGA!G337&gt;BUNDESLIGA!H337,"","")))</f>
        <v>Bor. Mönchengladbach</v>
      </c>
      <c r="G276" s="96" t="str">
        <f>IF(BUNDESLIGA!G337&lt;&gt;"",BUNDESLIGA!G337&amp;" - "&amp;BUNDESLIGA!H337,"")</f>
        <v/>
      </c>
      <c r="H276" s="96" t="str">
        <f t="shared" si="49"/>
        <v>Bayern München-Bor. Mönchengladbach</v>
      </c>
      <c r="I276" s="96" t="str">
        <f t="shared" si="44"/>
        <v/>
      </c>
      <c r="J276" s="97" t="str">
        <f t="shared" si="45"/>
        <v/>
      </c>
      <c r="L276" s="67" t="str">
        <f t="shared" si="46"/>
        <v/>
      </c>
      <c r="M276" s="67" t="str">
        <f t="shared" si="47"/>
        <v/>
      </c>
      <c r="O276" s="67" t="str">
        <f t="shared" si="48"/>
        <v/>
      </c>
      <c r="P276" s="67"/>
      <c r="Q276" s="67"/>
      <c r="R276" s="67"/>
      <c r="S276" s="67"/>
      <c r="T276" s="67"/>
      <c r="U276" s="67"/>
      <c r="V276" s="67"/>
      <c r="W276" s="67"/>
      <c r="X276" s="67"/>
      <c r="Y276" s="67"/>
      <c r="Z276" s="67"/>
      <c r="AA276" s="67"/>
      <c r="AB276" s="67"/>
      <c r="AC276" s="67"/>
      <c r="AD276" s="67"/>
      <c r="AE276" s="67"/>
      <c r="AF276" s="67"/>
      <c r="AG276" s="67"/>
      <c r="AH276" s="67"/>
      <c r="AI276" s="67"/>
      <c r="AJ276" s="67"/>
      <c r="AK276" s="67"/>
      <c r="AL276" s="67"/>
      <c r="AM276" s="67"/>
      <c r="AN276" s="67"/>
      <c r="AO276" s="67"/>
    </row>
    <row r="277" spans="3:41" x14ac:dyDescent="0.25">
      <c r="C277" s="94" t="str">
        <f t="shared" si="43"/>
        <v/>
      </c>
      <c r="D277" s="95">
        <v>31</v>
      </c>
      <c r="E277" s="96" t="str">
        <f>BUNDESLIGA!F338&amp;IF(OR(BUNDESLIGA!G338="",BUNDESLIGA!H338=""),"",IF(BUNDESLIGA!G338&gt;BUNDESLIGA!H338,"",IF(BUNDESLIGA!G338&lt;BUNDESLIGA!H338,"","")))</f>
        <v>Hertha BSC</v>
      </c>
      <c r="F277" s="96" t="str">
        <f>BUNDESLIGA!I338&amp;IF(OR(BUNDESLIGA!G338="",BUNDESLIGA!H338=""),"",IF(BUNDESLIGA!G338&lt;BUNDESLIGA!H338,"",IF(BUNDESLIGA!G338&gt;BUNDESLIGA!H338,"","")))</f>
        <v>Eintracht Frankfurt</v>
      </c>
      <c r="G277" s="96" t="str">
        <f>IF(BUNDESLIGA!G338&lt;&gt;"",BUNDESLIGA!G338&amp;" - "&amp;BUNDESLIGA!H338,"")</f>
        <v/>
      </c>
      <c r="H277" s="96" t="str">
        <f t="shared" si="49"/>
        <v>Hertha BSC-Eintracht Frankfurt</v>
      </c>
      <c r="I277" s="96" t="str">
        <f t="shared" si="44"/>
        <v/>
      </c>
      <c r="J277" s="97" t="str">
        <f t="shared" si="45"/>
        <v/>
      </c>
      <c r="L277" s="67" t="str">
        <f t="shared" si="46"/>
        <v/>
      </c>
      <c r="M277" s="67" t="str">
        <f t="shared" si="47"/>
        <v/>
      </c>
      <c r="O277" s="67" t="str">
        <f t="shared" si="48"/>
        <v/>
      </c>
      <c r="P277" s="67"/>
      <c r="Q277" s="67"/>
      <c r="R277" s="67"/>
      <c r="S277" s="67"/>
      <c r="T277" s="67"/>
      <c r="U277" s="67"/>
      <c r="V277" s="67"/>
      <c r="W277" s="67"/>
      <c r="X277" s="67"/>
      <c r="Y277" s="67"/>
      <c r="Z277" s="67"/>
      <c r="AA277" s="67"/>
      <c r="AB277" s="67"/>
      <c r="AC277" s="67"/>
      <c r="AD277" s="67"/>
      <c r="AE277" s="67"/>
      <c r="AF277" s="67"/>
      <c r="AG277" s="67"/>
      <c r="AH277" s="67"/>
      <c r="AI277" s="67"/>
      <c r="AJ277" s="67"/>
      <c r="AK277" s="67"/>
      <c r="AL277" s="67"/>
      <c r="AM277" s="67"/>
      <c r="AN277" s="67"/>
      <c r="AO277" s="67"/>
    </row>
    <row r="278" spans="3:41" x14ac:dyDescent="0.25">
      <c r="C278" s="94" t="str">
        <f t="shared" si="43"/>
        <v/>
      </c>
      <c r="D278" s="95">
        <v>31</v>
      </c>
      <c r="E278" s="96" t="str">
        <f>BUNDESLIGA!F339&amp;IF(OR(BUNDESLIGA!G339="",BUNDESLIGA!H339=""),"",IF(BUNDESLIGA!G339&gt;BUNDESLIGA!H339,"",IF(BUNDESLIGA!G339&lt;BUNDESLIGA!H339,"","")))</f>
        <v>SC Paderborn 07</v>
      </c>
      <c r="F278" s="96" t="str">
        <f>BUNDESLIGA!I339&amp;IF(OR(BUNDESLIGA!G339="",BUNDESLIGA!H339=""),"",IF(BUNDESLIGA!G339&lt;BUNDESLIGA!H339,"",IF(BUNDESLIGA!G339&gt;BUNDESLIGA!H339,"","")))</f>
        <v>Werder Bremen</v>
      </c>
      <c r="G278" s="96" t="str">
        <f>IF(BUNDESLIGA!G339&lt;&gt;"",BUNDESLIGA!G339&amp;" - "&amp;BUNDESLIGA!H339,"")</f>
        <v/>
      </c>
      <c r="H278" s="96" t="str">
        <f t="shared" si="49"/>
        <v>SC Paderborn 07-Werder Bremen</v>
      </c>
      <c r="I278" s="96" t="str">
        <f t="shared" si="44"/>
        <v/>
      </c>
      <c r="J278" s="97" t="str">
        <f t="shared" si="45"/>
        <v/>
      </c>
      <c r="L278" s="67" t="str">
        <f t="shared" si="46"/>
        <v/>
      </c>
      <c r="M278" s="67" t="str">
        <f t="shared" si="47"/>
        <v/>
      </c>
      <c r="O278" s="67" t="str">
        <f t="shared" si="48"/>
        <v/>
      </c>
      <c r="P278" s="67"/>
      <c r="Q278" s="67"/>
      <c r="R278" s="67"/>
      <c r="S278" s="67"/>
      <c r="T278" s="67"/>
      <c r="U278" s="67"/>
      <c r="V278" s="67"/>
      <c r="W278" s="67"/>
      <c r="X278" s="67"/>
      <c r="Y278" s="67"/>
      <c r="Z278" s="67"/>
      <c r="AA278" s="67"/>
      <c r="AB278" s="67"/>
      <c r="AC278" s="67"/>
      <c r="AD278" s="67"/>
      <c r="AE278" s="67"/>
      <c r="AF278" s="67"/>
      <c r="AG278" s="67"/>
      <c r="AH278" s="67"/>
      <c r="AI278" s="67"/>
      <c r="AJ278" s="67"/>
      <c r="AK278" s="67"/>
      <c r="AL278" s="67"/>
      <c r="AM278" s="67"/>
      <c r="AN278" s="67"/>
      <c r="AO278" s="67"/>
    </row>
    <row r="279" spans="3:41" x14ac:dyDescent="0.25">
      <c r="C279" s="94" t="str">
        <f t="shared" si="43"/>
        <v/>
      </c>
      <c r="D279" s="95">
        <v>31</v>
      </c>
      <c r="E279" s="96" t="str">
        <f>BUNDESLIGA!F340&amp;IF(OR(BUNDESLIGA!G340="",BUNDESLIGA!H340=""),"",IF(BUNDESLIGA!G340&gt;BUNDESLIGA!H340,"",IF(BUNDESLIGA!G340&lt;BUNDESLIGA!H340,"","")))</f>
        <v>VfL Wolfsburg</v>
      </c>
      <c r="F279" s="96" t="str">
        <f>BUNDESLIGA!I340&amp;IF(OR(BUNDESLIGA!G340="",BUNDESLIGA!H340=""),"",IF(BUNDESLIGA!G340&lt;BUNDESLIGA!H340,"",IF(BUNDESLIGA!G340&gt;BUNDESLIGA!H340,"","")))</f>
        <v>SC Freiburg</v>
      </c>
      <c r="G279" s="96" t="str">
        <f>IF(BUNDESLIGA!G340&lt;&gt;"",BUNDESLIGA!G340&amp;" - "&amp;BUNDESLIGA!H340,"")</f>
        <v/>
      </c>
      <c r="H279" s="96" t="str">
        <f t="shared" si="49"/>
        <v>VfL Wolfsburg-SC Freiburg</v>
      </c>
      <c r="I279" s="96" t="str">
        <f t="shared" si="44"/>
        <v/>
      </c>
      <c r="J279" s="97" t="str">
        <f t="shared" si="45"/>
        <v/>
      </c>
      <c r="L279" s="67" t="str">
        <f t="shared" si="46"/>
        <v/>
      </c>
      <c r="M279" s="67" t="str">
        <f t="shared" si="47"/>
        <v/>
      </c>
      <c r="O279" s="67" t="str">
        <f t="shared" si="48"/>
        <v/>
      </c>
      <c r="P279" s="67"/>
      <c r="Q279" s="67"/>
      <c r="R279" s="67"/>
      <c r="S279" s="67"/>
      <c r="T279" s="67"/>
      <c r="U279" s="67"/>
      <c r="V279" s="67"/>
      <c r="W279" s="67"/>
      <c r="X279" s="67"/>
      <c r="Y279" s="67"/>
      <c r="Z279" s="67"/>
      <c r="AA279" s="67"/>
      <c r="AB279" s="67"/>
      <c r="AC279" s="67"/>
      <c r="AD279" s="67"/>
      <c r="AE279" s="67"/>
      <c r="AF279" s="67"/>
      <c r="AG279" s="67"/>
      <c r="AH279" s="67"/>
      <c r="AI279" s="67"/>
      <c r="AJ279" s="67"/>
      <c r="AK279" s="67"/>
      <c r="AL279" s="67"/>
      <c r="AM279" s="67"/>
      <c r="AN279" s="67"/>
      <c r="AO279" s="67"/>
    </row>
    <row r="280" spans="3:41" x14ac:dyDescent="0.25">
      <c r="C280" s="94">
        <f t="shared" si="43"/>
        <v>31</v>
      </c>
      <c r="D280" s="95">
        <v>31</v>
      </c>
      <c r="E280" s="96" t="str">
        <f>BUNDESLIGA!F341&amp;IF(OR(BUNDESLIGA!G341="",BUNDESLIGA!H341=""),"",IF(BUNDESLIGA!G341&gt;BUNDESLIGA!H341,"",IF(BUNDESLIGA!G341&lt;BUNDESLIGA!H341,"","")))</f>
        <v>1. FSV Mainz 05</v>
      </c>
      <c r="F280" s="96" t="str">
        <f>BUNDESLIGA!I341&amp;IF(OR(BUNDESLIGA!G341="",BUNDESLIGA!H341=""),"",IF(BUNDESLIGA!G341&lt;BUNDESLIGA!H341,"",IF(BUNDESLIGA!G341&gt;BUNDESLIGA!H341,"","")))</f>
        <v>FC Augsburg</v>
      </c>
      <c r="G280" s="96" t="str">
        <f>IF(BUNDESLIGA!G341&lt;&gt;"",BUNDESLIGA!G341&amp;" - "&amp;BUNDESLIGA!H341,"")</f>
        <v/>
      </c>
      <c r="H280" s="96" t="str">
        <f t="shared" si="49"/>
        <v>1. FSV Mainz 05-FC Augsburg</v>
      </c>
      <c r="I280" s="96" t="str">
        <f t="shared" si="44"/>
        <v/>
      </c>
      <c r="J280" s="97" t="str">
        <f t="shared" si="45"/>
        <v/>
      </c>
      <c r="L280" s="67" t="str">
        <f t="shared" si="46"/>
        <v/>
      </c>
      <c r="M280" s="67" t="str">
        <f t="shared" si="47"/>
        <v/>
      </c>
      <c r="O280" s="67" t="str">
        <f t="shared" si="48"/>
        <v/>
      </c>
      <c r="P280" s="67"/>
      <c r="Q280" s="67"/>
      <c r="R280" s="67"/>
      <c r="S280" s="67"/>
      <c r="T280" s="67"/>
      <c r="U280" s="67"/>
      <c r="V280" s="67"/>
      <c r="W280" s="67"/>
      <c r="X280" s="67"/>
      <c r="Y280" s="67"/>
      <c r="Z280" s="67"/>
      <c r="AA280" s="67"/>
      <c r="AB280" s="67"/>
      <c r="AC280" s="67"/>
      <c r="AD280" s="67"/>
      <c r="AE280" s="67"/>
      <c r="AF280" s="67"/>
      <c r="AG280" s="67"/>
      <c r="AH280" s="67"/>
      <c r="AI280" s="67"/>
      <c r="AJ280" s="67"/>
      <c r="AK280" s="67"/>
      <c r="AL280" s="67"/>
      <c r="AM280" s="67"/>
      <c r="AN280" s="67"/>
      <c r="AO280" s="67"/>
    </row>
    <row r="281" spans="3:41" x14ac:dyDescent="0.25">
      <c r="C281" s="94" t="str">
        <f t="shared" si="43"/>
        <v/>
      </c>
      <c r="D281" s="95">
        <v>31</v>
      </c>
      <c r="E281" s="96" t="str">
        <f>BUNDESLIGA!F342&amp;IF(OR(BUNDESLIGA!G342="",BUNDESLIGA!H342=""),"",IF(BUNDESLIGA!G342&gt;BUNDESLIGA!H342,"",IF(BUNDESLIGA!G342&lt;BUNDESLIGA!H342,"","")))</f>
        <v>1. FC Köln</v>
      </c>
      <c r="F281" s="96" t="str">
        <f>BUNDESLIGA!I342&amp;IF(OR(BUNDESLIGA!G342="",BUNDESLIGA!H342=""),"",IF(BUNDESLIGA!G342&lt;BUNDESLIGA!H342,"",IF(BUNDESLIGA!G342&gt;BUNDESLIGA!H342,"","")))</f>
        <v>1. FC Union Berlin</v>
      </c>
      <c r="G281" s="96" t="str">
        <f>IF(BUNDESLIGA!G342&lt;&gt;"",BUNDESLIGA!G342&amp;" - "&amp;BUNDESLIGA!H342,"")</f>
        <v/>
      </c>
      <c r="H281" s="96" t="str">
        <f t="shared" si="49"/>
        <v>1. FC Köln-1. FC Union Berlin</v>
      </c>
      <c r="I281" s="96" t="str">
        <f t="shared" si="44"/>
        <v/>
      </c>
      <c r="J281" s="97" t="str">
        <f t="shared" si="45"/>
        <v/>
      </c>
      <c r="L281" s="67" t="str">
        <f t="shared" si="46"/>
        <v/>
      </c>
      <c r="M281" s="67" t="str">
        <f t="shared" si="47"/>
        <v/>
      </c>
      <c r="O281" s="67" t="str">
        <f t="shared" si="48"/>
        <v/>
      </c>
      <c r="P281" s="67"/>
      <c r="Q281" s="67"/>
      <c r="R281" s="67"/>
      <c r="S281" s="67"/>
      <c r="T281" s="67"/>
      <c r="U281" s="67"/>
      <c r="V281" s="67"/>
      <c r="W281" s="67"/>
      <c r="X281" s="67"/>
      <c r="Y281" s="67"/>
      <c r="Z281" s="67"/>
      <c r="AA281" s="67"/>
      <c r="AB281" s="67"/>
      <c r="AC281" s="67"/>
      <c r="AD281" s="67"/>
      <c r="AE281" s="67"/>
      <c r="AF281" s="67"/>
      <c r="AG281" s="67"/>
      <c r="AH281" s="67"/>
      <c r="AI281" s="67"/>
      <c r="AJ281" s="67"/>
      <c r="AK281" s="67"/>
      <c r="AL281" s="67"/>
      <c r="AM281" s="67"/>
      <c r="AN281" s="67"/>
      <c r="AO281" s="67"/>
    </row>
    <row r="282" spans="3:41" x14ac:dyDescent="0.25">
      <c r="C282" s="94" t="str">
        <f t="shared" si="43"/>
        <v/>
      </c>
      <c r="D282" s="95">
        <v>32</v>
      </c>
      <c r="E282" s="96" t="str">
        <f>BUNDESLIGA!F345&amp;IF(OR(BUNDESLIGA!G345="",BUNDESLIGA!H345=""),"",IF(BUNDESLIGA!G345&gt;BUNDESLIGA!H345,"",IF(BUNDESLIGA!G345&lt;BUNDESLIGA!H345,"","")))</f>
        <v>Werder Bremen</v>
      </c>
      <c r="F282" s="96" t="str">
        <f>BUNDESLIGA!I345&amp;IF(OR(BUNDESLIGA!G345="",BUNDESLIGA!H345=""),"",IF(BUNDESLIGA!G345&lt;BUNDESLIGA!H345,"",IF(BUNDESLIGA!G345&gt;BUNDESLIGA!H345,"","")))</f>
        <v>Bayern München</v>
      </c>
      <c r="G282" s="96" t="str">
        <f>IF(BUNDESLIGA!G345&lt;&gt;"",BUNDESLIGA!G345&amp;" - "&amp;BUNDESLIGA!H345,"")</f>
        <v/>
      </c>
      <c r="H282" s="96" t="str">
        <f t="shared" si="49"/>
        <v>Werder Bremen-Bayern München</v>
      </c>
      <c r="I282" s="96" t="str">
        <f t="shared" si="44"/>
        <v/>
      </c>
      <c r="J282" s="97" t="str">
        <f t="shared" si="45"/>
        <v/>
      </c>
      <c r="L282" s="67" t="str">
        <f t="shared" si="46"/>
        <v/>
      </c>
      <c r="M282" s="67" t="str">
        <f t="shared" si="47"/>
        <v/>
      </c>
      <c r="O282" s="67" t="str">
        <f t="shared" si="48"/>
        <v/>
      </c>
      <c r="P282" s="67"/>
      <c r="Q282" s="67"/>
      <c r="R282" s="67"/>
      <c r="S282" s="67"/>
      <c r="T282" s="67"/>
      <c r="U282" s="67"/>
      <c r="V282" s="67"/>
      <c r="W282" s="67"/>
      <c r="X282" s="67"/>
      <c r="Y282" s="67"/>
      <c r="Z282" s="67"/>
      <c r="AA282" s="67"/>
      <c r="AB282" s="67"/>
      <c r="AC282" s="67"/>
      <c r="AD282" s="67"/>
      <c r="AE282" s="67"/>
      <c r="AF282" s="67"/>
      <c r="AG282" s="67"/>
      <c r="AH282" s="67"/>
      <c r="AI282" s="67"/>
      <c r="AJ282" s="67"/>
      <c r="AK282" s="67"/>
      <c r="AL282" s="67"/>
      <c r="AM282" s="67"/>
      <c r="AN282" s="67"/>
      <c r="AO282" s="67"/>
    </row>
    <row r="283" spans="3:41" x14ac:dyDescent="0.25">
      <c r="C283" s="94" t="str">
        <f t="shared" si="43"/>
        <v/>
      </c>
      <c r="D283" s="95">
        <v>32</v>
      </c>
      <c r="E283" s="96" t="str">
        <f>BUNDESLIGA!F346&amp;IF(OR(BUNDESLIGA!G346="",BUNDESLIGA!H346=""),"",IF(BUNDESLIGA!G346&gt;BUNDESLIGA!H346,"",IF(BUNDESLIGA!G346&lt;BUNDESLIGA!H346,"","")))</f>
        <v>Bor. Mönchengladbach</v>
      </c>
      <c r="F283" s="96" t="str">
        <f>BUNDESLIGA!I346&amp;IF(OR(BUNDESLIGA!G346="",BUNDESLIGA!H346=""),"",IF(BUNDESLIGA!G346&lt;BUNDESLIGA!H346,"",IF(BUNDESLIGA!G346&gt;BUNDESLIGA!H346,"","")))</f>
        <v>VfL Wolfsburg</v>
      </c>
      <c r="G283" s="96" t="str">
        <f>IF(BUNDESLIGA!G346&lt;&gt;"",BUNDESLIGA!G346&amp;" - "&amp;BUNDESLIGA!H346,"")</f>
        <v/>
      </c>
      <c r="H283" s="96" t="str">
        <f t="shared" si="49"/>
        <v>Bor. Mönchengladbach-VfL Wolfsburg</v>
      </c>
      <c r="I283" s="96" t="str">
        <f t="shared" si="44"/>
        <v/>
      </c>
      <c r="J283" s="97" t="str">
        <f t="shared" si="45"/>
        <v/>
      </c>
      <c r="L283" s="67" t="str">
        <f t="shared" si="46"/>
        <v/>
      </c>
      <c r="M283" s="67" t="str">
        <f t="shared" si="47"/>
        <v/>
      </c>
      <c r="O283" s="67" t="str">
        <f t="shared" si="48"/>
        <v/>
      </c>
      <c r="P283" s="67"/>
      <c r="Q283" s="67"/>
      <c r="R283" s="67"/>
      <c r="S283" s="67"/>
      <c r="T283" s="67"/>
      <c r="U283" s="67"/>
      <c r="V283" s="67"/>
      <c r="W283" s="67"/>
      <c r="X283" s="67"/>
      <c r="Y283" s="67"/>
      <c r="Z283" s="67"/>
      <c r="AA283" s="67"/>
      <c r="AB283" s="67"/>
      <c r="AC283" s="67"/>
      <c r="AD283" s="67"/>
      <c r="AE283" s="67"/>
      <c r="AF283" s="67"/>
      <c r="AG283" s="67"/>
      <c r="AH283" s="67"/>
      <c r="AI283" s="67"/>
      <c r="AJ283" s="67"/>
      <c r="AK283" s="67"/>
      <c r="AL283" s="67"/>
      <c r="AM283" s="67"/>
      <c r="AN283" s="67"/>
      <c r="AO283" s="67"/>
    </row>
    <row r="284" spans="3:41" x14ac:dyDescent="0.25">
      <c r="C284" s="94">
        <f t="shared" si="43"/>
        <v>32</v>
      </c>
      <c r="D284" s="95">
        <v>32</v>
      </c>
      <c r="E284" s="96" t="str">
        <f>BUNDESLIGA!F347&amp;IF(OR(BUNDESLIGA!G347="",BUNDESLIGA!H347=""),"",IF(BUNDESLIGA!G347&gt;BUNDESLIGA!H347,"",IF(BUNDESLIGA!G347&lt;BUNDESLIGA!H347,"","")))</f>
        <v>FC Augsburg</v>
      </c>
      <c r="F284" s="96" t="str">
        <f>BUNDESLIGA!I347&amp;IF(OR(BUNDESLIGA!G347="",BUNDESLIGA!H347=""),"",IF(BUNDESLIGA!G347&lt;BUNDESLIGA!H347,"",IF(BUNDESLIGA!G347&gt;BUNDESLIGA!H347,"","")))</f>
        <v>1899 Hoffenheim</v>
      </c>
      <c r="G284" s="96" t="str">
        <f>IF(BUNDESLIGA!G347&lt;&gt;"",BUNDESLIGA!G347&amp;" - "&amp;BUNDESLIGA!H347,"")</f>
        <v/>
      </c>
      <c r="H284" s="96" t="str">
        <f t="shared" si="49"/>
        <v>FC Augsburg-1899 Hoffenheim</v>
      </c>
      <c r="I284" s="96" t="str">
        <f t="shared" si="44"/>
        <v/>
      </c>
      <c r="J284" s="97" t="str">
        <f t="shared" si="45"/>
        <v/>
      </c>
      <c r="L284" s="67" t="str">
        <f t="shared" si="46"/>
        <v/>
      </c>
      <c r="M284" s="67" t="str">
        <f t="shared" si="47"/>
        <v/>
      </c>
      <c r="O284" s="67" t="str">
        <f t="shared" si="48"/>
        <v/>
      </c>
      <c r="P284" s="67"/>
      <c r="Q284" s="67"/>
      <c r="R284" s="67"/>
      <c r="S284" s="67"/>
      <c r="T284" s="67"/>
      <c r="U284" s="67"/>
      <c r="V284" s="67"/>
      <c r="W284" s="67"/>
      <c r="X284" s="67"/>
      <c r="Y284" s="67"/>
      <c r="Z284" s="67"/>
      <c r="AA284" s="67"/>
      <c r="AB284" s="67"/>
      <c r="AC284" s="67"/>
      <c r="AD284" s="67"/>
      <c r="AE284" s="67"/>
      <c r="AF284" s="67"/>
      <c r="AG284" s="67"/>
      <c r="AH284" s="67"/>
      <c r="AI284" s="67"/>
      <c r="AJ284" s="67"/>
      <c r="AK284" s="67"/>
      <c r="AL284" s="67"/>
      <c r="AM284" s="67"/>
      <c r="AN284" s="67"/>
      <c r="AO284" s="67"/>
    </row>
    <row r="285" spans="3:41" x14ac:dyDescent="0.25">
      <c r="C285" s="94" t="str">
        <f t="shared" si="43"/>
        <v/>
      </c>
      <c r="D285" s="95">
        <v>32</v>
      </c>
      <c r="E285" s="96" t="str">
        <f>BUNDESLIGA!F348&amp;IF(OR(BUNDESLIGA!G348="",BUNDESLIGA!H348=""),"",IF(BUNDESLIGA!G348&gt;BUNDESLIGA!H348,"",IF(BUNDESLIGA!G348&lt;BUNDESLIGA!H348,"","")))</f>
        <v>RB Leipzig</v>
      </c>
      <c r="F285" s="96" t="str">
        <f>BUNDESLIGA!I348&amp;IF(OR(BUNDESLIGA!G348="",BUNDESLIGA!H348=""),"",IF(BUNDESLIGA!G348&lt;BUNDESLIGA!H348,"",IF(BUNDESLIGA!G348&gt;BUNDESLIGA!H348,"","")))</f>
        <v>Fortuna Düsseldorf</v>
      </c>
      <c r="G285" s="96" t="str">
        <f>IF(BUNDESLIGA!G348&lt;&gt;"",BUNDESLIGA!G348&amp;" - "&amp;BUNDESLIGA!H348,"")</f>
        <v/>
      </c>
      <c r="H285" s="96" t="str">
        <f t="shared" si="49"/>
        <v>RB Leipzig-Fortuna Düsseldorf</v>
      </c>
      <c r="I285" s="96" t="str">
        <f t="shared" si="44"/>
        <v/>
      </c>
      <c r="J285" s="97" t="str">
        <f t="shared" si="45"/>
        <v/>
      </c>
      <c r="L285" s="67" t="str">
        <f t="shared" si="46"/>
        <v/>
      </c>
      <c r="M285" s="67" t="str">
        <f t="shared" si="47"/>
        <v/>
      </c>
      <c r="O285" s="67" t="str">
        <f t="shared" si="48"/>
        <v/>
      </c>
      <c r="P285" s="67"/>
      <c r="Q285" s="67"/>
      <c r="R285" s="67"/>
      <c r="S285" s="67"/>
      <c r="T285" s="67"/>
      <c r="U285" s="67"/>
      <c r="V285" s="67"/>
      <c r="W285" s="67"/>
      <c r="X285" s="67"/>
      <c r="Y285" s="67"/>
      <c r="Z285" s="67"/>
      <c r="AA285" s="67"/>
      <c r="AB285" s="67"/>
      <c r="AC285" s="67"/>
      <c r="AD285" s="67"/>
      <c r="AE285" s="67"/>
      <c r="AF285" s="67"/>
      <c r="AG285" s="67"/>
      <c r="AH285" s="67"/>
      <c r="AI285" s="67"/>
      <c r="AJ285" s="67"/>
      <c r="AK285" s="67"/>
      <c r="AL285" s="67"/>
      <c r="AM285" s="67"/>
      <c r="AN285" s="67"/>
      <c r="AO285" s="67"/>
    </row>
    <row r="286" spans="3:41" x14ac:dyDescent="0.25">
      <c r="C286" s="94" t="str">
        <f t="shared" si="43"/>
        <v/>
      </c>
      <c r="D286" s="95">
        <v>32</v>
      </c>
      <c r="E286" s="96" t="str">
        <f>BUNDESLIGA!F349&amp;IF(OR(BUNDESLIGA!G349="",BUNDESLIGA!H349=""),"",IF(BUNDESLIGA!G349&gt;BUNDESLIGA!H349,"",IF(BUNDESLIGA!G349&lt;BUNDESLIGA!H349,"","")))</f>
        <v>SC Freiburg</v>
      </c>
      <c r="F286" s="96" t="str">
        <f>BUNDESLIGA!I349&amp;IF(OR(BUNDESLIGA!G349="",BUNDESLIGA!H349=""),"",IF(BUNDESLIGA!G349&lt;BUNDESLIGA!H349,"",IF(BUNDESLIGA!G349&gt;BUNDESLIGA!H349,"","")))</f>
        <v>Hertha BSC</v>
      </c>
      <c r="G286" s="96" t="str">
        <f>IF(BUNDESLIGA!G349&lt;&gt;"",BUNDESLIGA!G349&amp;" - "&amp;BUNDESLIGA!H349,"")</f>
        <v/>
      </c>
      <c r="H286" s="96" t="str">
        <f t="shared" si="49"/>
        <v>SC Freiburg-Hertha BSC</v>
      </c>
      <c r="I286" s="96" t="str">
        <f t="shared" si="44"/>
        <v/>
      </c>
      <c r="J286" s="97" t="str">
        <f t="shared" si="45"/>
        <v/>
      </c>
      <c r="L286" s="67" t="str">
        <f t="shared" si="46"/>
        <v/>
      </c>
      <c r="M286" s="67" t="str">
        <f t="shared" si="47"/>
        <v/>
      </c>
      <c r="O286" s="67" t="str">
        <f t="shared" si="48"/>
        <v/>
      </c>
      <c r="P286" s="67"/>
      <c r="Q286" s="67"/>
      <c r="R286" s="67"/>
      <c r="S286" s="67"/>
      <c r="T286" s="67"/>
      <c r="U286" s="67"/>
      <c r="V286" s="67"/>
      <c r="W286" s="67"/>
      <c r="X286" s="67"/>
      <c r="Y286" s="67"/>
      <c r="Z286" s="67"/>
      <c r="AA286" s="67"/>
      <c r="AB286" s="67"/>
      <c r="AC286" s="67"/>
      <c r="AD286" s="67"/>
      <c r="AE286" s="67"/>
      <c r="AF286" s="67"/>
      <c r="AG286" s="67"/>
      <c r="AH286" s="67"/>
      <c r="AI286" s="67"/>
      <c r="AJ286" s="67"/>
      <c r="AK286" s="67"/>
      <c r="AL286" s="67"/>
      <c r="AM286" s="67"/>
      <c r="AN286" s="67"/>
      <c r="AO286" s="67"/>
    </row>
    <row r="287" spans="3:41" x14ac:dyDescent="0.25">
      <c r="C287" s="94" t="str">
        <f t="shared" si="43"/>
        <v/>
      </c>
      <c r="D287" s="95">
        <v>32</v>
      </c>
      <c r="E287" s="96" t="str">
        <f>BUNDESLIGA!F350&amp;IF(OR(BUNDESLIGA!G350="",BUNDESLIGA!H350=""),"",IF(BUNDESLIGA!G350&gt;BUNDESLIGA!H350,"",IF(BUNDESLIGA!G350&lt;BUNDESLIGA!H350,"","")))</f>
        <v>Borussia Dortmund</v>
      </c>
      <c r="F287" s="96" t="str">
        <f>BUNDESLIGA!I350&amp;IF(OR(BUNDESLIGA!G350="",BUNDESLIGA!H350=""),"",IF(BUNDESLIGA!G350&lt;BUNDESLIGA!H350,"",IF(BUNDESLIGA!G350&gt;BUNDESLIGA!H350,"","")))</f>
        <v>1. FSV Mainz 05</v>
      </c>
      <c r="G287" s="96" t="str">
        <f>IF(BUNDESLIGA!G350&lt;&gt;"",BUNDESLIGA!G350&amp;" - "&amp;BUNDESLIGA!H350,"")</f>
        <v/>
      </c>
      <c r="H287" s="96" t="str">
        <f t="shared" si="49"/>
        <v>Borussia Dortmund-1. FSV Mainz 05</v>
      </c>
      <c r="I287" s="96" t="str">
        <f t="shared" si="44"/>
        <v/>
      </c>
      <c r="J287" s="97" t="str">
        <f t="shared" si="45"/>
        <v/>
      </c>
      <c r="L287" s="67" t="str">
        <f t="shared" si="46"/>
        <v/>
      </c>
      <c r="M287" s="67" t="str">
        <f t="shared" si="47"/>
        <v/>
      </c>
      <c r="O287" s="67" t="str">
        <f t="shared" si="48"/>
        <v/>
      </c>
      <c r="P287" s="67"/>
      <c r="Q287" s="67"/>
      <c r="R287" s="67"/>
      <c r="S287" s="67"/>
      <c r="T287" s="67"/>
      <c r="U287" s="67"/>
      <c r="V287" s="67"/>
      <c r="W287" s="67"/>
      <c r="X287" s="67"/>
      <c r="Y287" s="67"/>
      <c r="Z287" s="67"/>
      <c r="AA287" s="67"/>
      <c r="AB287" s="67"/>
      <c r="AC287" s="67"/>
      <c r="AD287" s="67"/>
      <c r="AE287" s="67"/>
      <c r="AF287" s="67"/>
      <c r="AG287" s="67"/>
      <c r="AH287" s="67"/>
      <c r="AI287" s="67"/>
      <c r="AJ287" s="67"/>
      <c r="AK287" s="67"/>
      <c r="AL287" s="67"/>
      <c r="AM287" s="67"/>
      <c r="AN287" s="67"/>
      <c r="AO287" s="67"/>
    </row>
    <row r="288" spans="3:41" x14ac:dyDescent="0.25">
      <c r="C288" s="94" t="str">
        <f t="shared" si="43"/>
        <v/>
      </c>
      <c r="D288" s="95">
        <v>32</v>
      </c>
      <c r="E288" s="96" t="str">
        <f>BUNDESLIGA!F351&amp;IF(OR(BUNDESLIGA!G351="",BUNDESLIGA!H351=""),"",IF(BUNDESLIGA!G351&gt;BUNDESLIGA!H351,"",IF(BUNDESLIGA!G351&lt;BUNDESLIGA!H351,"","")))</f>
        <v>Eintracht Frankfurt</v>
      </c>
      <c r="F288" s="96" t="str">
        <f>BUNDESLIGA!I351&amp;IF(OR(BUNDESLIGA!G351="",BUNDESLIGA!H351=""),"",IF(BUNDESLIGA!G351&lt;BUNDESLIGA!H351,"",IF(BUNDESLIGA!G351&gt;BUNDESLIGA!H351,"","")))</f>
        <v>FC Schalke 04</v>
      </c>
      <c r="G288" s="96" t="str">
        <f>IF(BUNDESLIGA!G351&lt;&gt;"",BUNDESLIGA!G351&amp;" - "&amp;BUNDESLIGA!H351,"")</f>
        <v/>
      </c>
      <c r="H288" s="96" t="str">
        <f t="shared" si="49"/>
        <v>Eintracht Frankfurt-FC Schalke 04</v>
      </c>
      <c r="I288" s="96" t="str">
        <f t="shared" si="44"/>
        <v/>
      </c>
      <c r="J288" s="97" t="str">
        <f t="shared" si="45"/>
        <v/>
      </c>
      <c r="L288" s="67" t="str">
        <f t="shared" si="46"/>
        <v/>
      </c>
      <c r="M288" s="67" t="str">
        <f t="shared" si="47"/>
        <v/>
      </c>
      <c r="O288" s="67" t="str">
        <f t="shared" si="48"/>
        <v/>
      </c>
      <c r="P288" s="67"/>
      <c r="Q288" s="67"/>
      <c r="R288" s="67"/>
      <c r="S288" s="67"/>
      <c r="T288" s="67"/>
      <c r="U288" s="67"/>
      <c r="V288" s="67"/>
      <c r="W288" s="67"/>
      <c r="X288" s="67"/>
      <c r="Y288" s="67"/>
      <c r="Z288" s="67"/>
      <c r="AA288" s="67"/>
      <c r="AB288" s="67"/>
      <c r="AC288" s="67"/>
      <c r="AD288" s="67"/>
      <c r="AE288" s="67"/>
      <c r="AF288" s="67"/>
      <c r="AG288" s="67"/>
      <c r="AH288" s="67"/>
      <c r="AI288" s="67"/>
      <c r="AJ288" s="67"/>
      <c r="AK288" s="67"/>
      <c r="AL288" s="67"/>
      <c r="AM288" s="67"/>
      <c r="AN288" s="67"/>
      <c r="AO288" s="67"/>
    </row>
    <row r="289" spans="3:41" x14ac:dyDescent="0.25">
      <c r="C289" s="94" t="str">
        <f t="shared" si="43"/>
        <v/>
      </c>
      <c r="D289" s="95">
        <v>32</v>
      </c>
      <c r="E289" s="96" t="str">
        <f>BUNDESLIGA!F352&amp;IF(OR(BUNDESLIGA!G352="",BUNDESLIGA!H352=""),"",IF(BUNDESLIGA!G352&gt;BUNDESLIGA!H352,"",IF(BUNDESLIGA!G352&lt;BUNDESLIGA!H352,"","")))</f>
        <v>Bayer Leverkusen</v>
      </c>
      <c r="F289" s="96" t="str">
        <f>BUNDESLIGA!I352&amp;IF(OR(BUNDESLIGA!G352="",BUNDESLIGA!H352=""),"",IF(BUNDESLIGA!G352&lt;BUNDESLIGA!H352,"",IF(BUNDESLIGA!G352&gt;BUNDESLIGA!H352,"","")))</f>
        <v>1. FC Köln</v>
      </c>
      <c r="G289" s="96" t="str">
        <f>IF(BUNDESLIGA!G352&lt;&gt;"",BUNDESLIGA!G352&amp;" - "&amp;BUNDESLIGA!H352,"")</f>
        <v/>
      </c>
      <c r="H289" s="96" t="str">
        <f t="shared" si="49"/>
        <v>Bayer Leverkusen-1. FC Köln</v>
      </c>
      <c r="I289" s="96" t="str">
        <f t="shared" si="44"/>
        <v/>
      </c>
      <c r="J289" s="97" t="str">
        <f t="shared" si="45"/>
        <v/>
      </c>
      <c r="L289" s="67" t="str">
        <f t="shared" si="46"/>
        <v/>
      </c>
      <c r="M289" s="67" t="str">
        <f t="shared" si="47"/>
        <v/>
      </c>
      <c r="O289" s="67" t="str">
        <f t="shared" si="48"/>
        <v/>
      </c>
      <c r="P289" s="67"/>
      <c r="Q289" s="67"/>
      <c r="R289" s="67"/>
      <c r="S289" s="67"/>
      <c r="T289" s="67"/>
      <c r="U289" s="67"/>
      <c r="V289" s="67"/>
      <c r="W289" s="67"/>
      <c r="X289" s="67"/>
      <c r="Y289" s="67"/>
      <c r="Z289" s="67"/>
      <c r="AA289" s="67"/>
      <c r="AB289" s="67"/>
      <c r="AC289" s="67"/>
      <c r="AD289" s="67"/>
      <c r="AE289" s="67"/>
      <c r="AF289" s="67"/>
      <c r="AG289" s="67"/>
      <c r="AH289" s="67"/>
      <c r="AI289" s="67"/>
      <c r="AJ289" s="67"/>
      <c r="AK289" s="67"/>
      <c r="AL289" s="67"/>
      <c r="AM289" s="67"/>
      <c r="AN289" s="67"/>
      <c r="AO289" s="67"/>
    </row>
    <row r="290" spans="3:41" x14ac:dyDescent="0.25">
      <c r="C290" s="94" t="str">
        <f t="shared" si="43"/>
        <v/>
      </c>
      <c r="D290" s="95">
        <v>32</v>
      </c>
      <c r="E290" s="96" t="str">
        <f>BUNDESLIGA!F353&amp;IF(OR(BUNDESLIGA!G353="",BUNDESLIGA!H353=""),"",IF(BUNDESLIGA!G353&gt;BUNDESLIGA!H353,"",IF(BUNDESLIGA!G353&lt;BUNDESLIGA!H353,"","")))</f>
        <v>1. FC Union Berlin</v>
      </c>
      <c r="F290" s="96" t="str">
        <f>BUNDESLIGA!I353&amp;IF(OR(BUNDESLIGA!G353="",BUNDESLIGA!H353=""),"",IF(BUNDESLIGA!G353&lt;BUNDESLIGA!H353,"",IF(BUNDESLIGA!G353&gt;BUNDESLIGA!H353,"","")))</f>
        <v>SC Paderborn 07</v>
      </c>
      <c r="G290" s="96" t="str">
        <f>IF(BUNDESLIGA!G353&lt;&gt;"",BUNDESLIGA!G353&amp;" - "&amp;BUNDESLIGA!H353,"")</f>
        <v/>
      </c>
      <c r="H290" s="96" t="str">
        <f t="shared" si="49"/>
        <v>1. FC Union Berlin-SC Paderborn 07</v>
      </c>
      <c r="I290" s="96" t="str">
        <f t="shared" si="44"/>
        <v/>
      </c>
      <c r="J290" s="97" t="str">
        <f t="shared" si="45"/>
        <v/>
      </c>
      <c r="L290" s="67" t="str">
        <f t="shared" si="46"/>
        <v/>
      </c>
      <c r="M290" s="67" t="str">
        <f t="shared" si="47"/>
        <v/>
      </c>
      <c r="O290" s="67" t="str">
        <f t="shared" si="48"/>
        <v/>
      </c>
      <c r="P290" s="67"/>
      <c r="Q290" s="67"/>
      <c r="R290" s="67"/>
      <c r="S290" s="67"/>
      <c r="T290" s="67"/>
      <c r="U290" s="67"/>
      <c r="V290" s="67"/>
      <c r="W290" s="67"/>
      <c r="X290" s="67"/>
      <c r="Y290" s="67"/>
      <c r="Z290" s="67"/>
      <c r="AA290" s="67"/>
      <c r="AB290" s="67"/>
      <c r="AC290" s="67"/>
      <c r="AD290" s="67"/>
      <c r="AE290" s="67"/>
      <c r="AF290" s="67"/>
      <c r="AG290" s="67"/>
      <c r="AH290" s="67"/>
      <c r="AI290" s="67"/>
      <c r="AJ290" s="67"/>
      <c r="AK290" s="67"/>
      <c r="AL290" s="67"/>
      <c r="AM290" s="67"/>
      <c r="AN290" s="67"/>
      <c r="AO290" s="67"/>
    </row>
    <row r="291" spans="3:41" x14ac:dyDescent="0.25">
      <c r="C291" s="94" t="str">
        <f t="shared" si="43"/>
        <v/>
      </c>
      <c r="D291" s="95">
        <v>33</v>
      </c>
      <c r="E291" s="96" t="str">
        <f>BUNDESLIGA!F356&amp;IF(OR(BUNDESLIGA!G356="",BUNDESLIGA!H356=""),"",IF(BUNDESLIGA!G356&gt;BUNDESLIGA!H356,"",IF(BUNDESLIGA!G356&lt;BUNDESLIGA!H356,"","")))</f>
        <v>RB Leipzig</v>
      </c>
      <c r="F291" s="96" t="str">
        <f>BUNDESLIGA!I356&amp;IF(OR(BUNDESLIGA!G356="",BUNDESLIGA!H356=""),"",IF(BUNDESLIGA!G356&lt;BUNDESLIGA!H356,"",IF(BUNDESLIGA!G356&gt;BUNDESLIGA!H356,"","")))</f>
        <v>Borussia Dortmund</v>
      </c>
      <c r="G291" s="96" t="str">
        <f>IF(BUNDESLIGA!G356&lt;&gt;"",BUNDESLIGA!G356&amp;" - "&amp;BUNDESLIGA!H356,"")</f>
        <v/>
      </c>
      <c r="H291" s="96" t="str">
        <f t="shared" si="49"/>
        <v>RB Leipzig-Borussia Dortmund</v>
      </c>
      <c r="I291" s="96" t="str">
        <f t="shared" si="44"/>
        <v/>
      </c>
      <c r="J291" s="97" t="str">
        <f t="shared" si="45"/>
        <v/>
      </c>
      <c r="L291" s="67" t="str">
        <f t="shared" si="46"/>
        <v/>
      </c>
      <c r="M291" s="67" t="str">
        <f t="shared" si="47"/>
        <v/>
      </c>
      <c r="O291" s="67" t="str">
        <f t="shared" si="48"/>
        <v/>
      </c>
      <c r="P291" s="67"/>
      <c r="Q291" s="67"/>
      <c r="R291" s="67"/>
      <c r="S291" s="67"/>
      <c r="T291" s="67"/>
      <c r="U291" s="67"/>
      <c r="V291" s="67"/>
      <c r="W291" s="67"/>
      <c r="X291" s="67"/>
      <c r="Y291" s="67"/>
      <c r="Z291" s="67"/>
      <c r="AA291" s="67"/>
      <c r="AB291" s="67"/>
      <c r="AC291" s="67"/>
      <c r="AD291" s="67"/>
      <c r="AE291" s="67"/>
      <c r="AF291" s="67"/>
      <c r="AG291" s="67"/>
      <c r="AH291" s="67"/>
      <c r="AI291" s="67"/>
      <c r="AJ291" s="67"/>
      <c r="AK291" s="67"/>
      <c r="AL291" s="67"/>
      <c r="AM291" s="67"/>
      <c r="AN291" s="67"/>
      <c r="AO291" s="67"/>
    </row>
    <row r="292" spans="3:41" x14ac:dyDescent="0.25">
      <c r="C292" s="94" t="str">
        <f t="shared" si="43"/>
        <v/>
      </c>
      <c r="D292" s="95">
        <v>33</v>
      </c>
      <c r="E292" s="96" t="str">
        <f>BUNDESLIGA!F357&amp;IF(OR(BUNDESLIGA!G357="",BUNDESLIGA!H357=""),"",IF(BUNDESLIGA!G357&gt;BUNDESLIGA!H357,"",IF(BUNDESLIGA!G357&lt;BUNDESLIGA!H357,"","")))</f>
        <v>Hertha BSC</v>
      </c>
      <c r="F292" s="96" t="str">
        <f>BUNDESLIGA!I357&amp;IF(OR(BUNDESLIGA!G357="",BUNDESLIGA!H357=""),"",IF(BUNDESLIGA!G357&lt;BUNDESLIGA!H357,"",IF(BUNDESLIGA!G357&gt;BUNDESLIGA!H357,"","")))</f>
        <v>Bayer Leverkusen</v>
      </c>
      <c r="G292" s="96" t="str">
        <f>IF(BUNDESLIGA!G357&lt;&gt;"",BUNDESLIGA!G357&amp;" - "&amp;BUNDESLIGA!H357,"")</f>
        <v/>
      </c>
      <c r="H292" s="96" t="str">
        <f t="shared" si="49"/>
        <v>Hertha BSC-Bayer Leverkusen</v>
      </c>
      <c r="I292" s="96" t="str">
        <f t="shared" si="44"/>
        <v/>
      </c>
      <c r="J292" s="97" t="str">
        <f t="shared" si="45"/>
        <v/>
      </c>
      <c r="L292" s="67" t="str">
        <f t="shared" si="46"/>
        <v/>
      </c>
      <c r="M292" s="67" t="str">
        <f t="shared" si="47"/>
        <v/>
      </c>
      <c r="O292" s="67" t="str">
        <f t="shared" si="48"/>
        <v/>
      </c>
      <c r="P292" s="67"/>
      <c r="Q292" s="67"/>
      <c r="R292" s="67"/>
      <c r="S292" s="67"/>
      <c r="T292" s="67"/>
      <c r="U292" s="67"/>
      <c r="V292" s="67"/>
      <c r="W292" s="67"/>
      <c r="X292" s="67"/>
      <c r="Y292" s="67"/>
      <c r="Z292" s="67"/>
      <c r="AA292" s="67"/>
      <c r="AB292" s="67"/>
      <c r="AC292" s="67"/>
      <c r="AD292" s="67"/>
      <c r="AE292" s="67"/>
      <c r="AF292" s="67"/>
      <c r="AG292" s="67"/>
      <c r="AH292" s="67"/>
      <c r="AI292" s="67"/>
      <c r="AJ292" s="67"/>
      <c r="AK292" s="67"/>
      <c r="AL292" s="67"/>
      <c r="AM292" s="67"/>
      <c r="AN292" s="67"/>
      <c r="AO292" s="67"/>
    </row>
    <row r="293" spans="3:41" x14ac:dyDescent="0.25">
      <c r="C293" s="94" t="str">
        <f t="shared" si="43"/>
        <v/>
      </c>
      <c r="D293" s="95">
        <v>33</v>
      </c>
      <c r="E293" s="96" t="str">
        <f>BUNDESLIGA!F358&amp;IF(OR(BUNDESLIGA!G358="",BUNDESLIGA!H358=""),"",IF(BUNDESLIGA!G358&gt;BUNDESLIGA!H358,"",IF(BUNDESLIGA!G358&lt;BUNDESLIGA!H358,"","")))</f>
        <v>SC Paderborn 07</v>
      </c>
      <c r="F293" s="96" t="str">
        <f>BUNDESLIGA!I358&amp;IF(OR(BUNDESLIGA!G358="",BUNDESLIGA!H358=""),"",IF(BUNDESLIGA!G358&lt;BUNDESLIGA!H358,"",IF(BUNDESLIGA!G358&gt;BUNDESLIGA!H358,"","")))</f>
        <v>Bor. Mönchengladbach</v>
      </c>
      <c r="G293" s="96" t="str">
        <f>IF(BUNDESLIGA!G358&lt;&gt;"",BUNDESLIGA!G358&amp;" - "&amp;BUNDESLIGA!H358,"")</f>
        <v/>
      </c>
      <c r="H293" s="96" t="str">
        <f t="shared" si="49"/>
        <v>SC Paderborn 07-Bor. Mönchengladbach</v>
      </c>
      <c r="I293" s="96" t="str">
        <f t="shared" si="44"/>
        <v/>
      </c>
      <c r="J293" s="97" t="str">
        <f t="shared" si="45"/>
        <v/>
      </c>
      <c r="L293" s="67" t="str">
        <f t="shared" si="46"/>
        <v/>
      </c>
      <c r="M293" s="67" t="str">
        <f t="shared" si="47"/>
        <v/>
      </c>
      <c r="O293" s="67" t="str">
        <f t="shared" si="48"/>
        <v/>
      </c>
      <c r="P293" s="67"/>
      <c r="Q293" s="67"/>
      <c r="R293" s="67"/>
      <c r="S293" s="67"/>
      <c r="T293" s="67"/>
      <c r="U293" s="67"/>
      <c r="V293" s="67"/>
      <c r="W293" s="67"/>
      <c r="X293" s="67"/>
      <c r="Y293" s="67"/>
      <c r="Z293" s="67"/>
      <c r="AA293" s="67"/>
      <c r="AB293" s="67"/>
      <c r="AC293" s="67"/>
      <c r="AD293" s="67"/>
      <c r="AE293" s="67"/>
      <c r="AF293" s="67"/>
      <c r="AG293" s="67"/>
      <c r="AH293" s="67"/>
      <c r="AI293" s="67"/>
      <c r="AJ293" s="67"/>
      <c r="AK293" s="67"/>
      <c r="AL293" s="67"/>
      <c r="AM293" s="67"/>
      <c r="AN293" s="67"/>
      <c r="AO293" s="67"/>
    </row>
    <row r="294" spans="3:41" x14ac:dyDescent="0.25">
      <c r="C294" s="94" t="str">
        <f t="shared" si="43"/>
        <v/>
      </c>
      <c r="D294" s="95">
        <v>33</v>
      </c>
      <c r="E294" s="96" t="str">
        <f>BUNDESLIGA!F359&amp;IF(OR(BUNDESLIGA!G359="",BUNDESLIGA!H359=""),"",IF(BUNDESLIGA!G359&gt;BUNDESLIGA!H359,"",IF(BUNDESLIGA!G359&lt;BUNDESLIGA!H359,"","")))</f>
        <v>FC Schalke 04</v>
      </c>
      <c r="F294" s="96" t="str">
        <f>BUNDESLIGA!I359&amp;IF(OR(BUNDESLIGA!G359="",BUNDESLIGA!H359=""),"",IF(BUNDESLIGA!G359&lt;BUNDESLIGA!H359,"",IF(BUNDESLIGA!G359&gt;BUNDESLIGA!H359,"","")))</f>
        <v>VfL Wolfsburg</v>
      </c>
      <c r="G294" s="96" t="str">
        <f>IF(BUNDESLIGA!G359&lt;&gt;"",BUNDESLIGA!G359&amp;" - "&amp;BUNDESLIGA!H359,"")</f>
        <v/>
      </c>
      <c r="H294" s="96" t="str">
        <f t="shared" si="49"/>
        <v>FC Schalke 04-VfL Wolfsburg</v>
      </c>
      <c r="I294" s="96" t="str">
        <f t="shared" si="44"/>
        <v/>
      </c>
      <c r="J294" s="97" t="str">
        <f t="shared" si="45"/>
        <v/>
      </c>
      <c r="L294" s="67" t="str">
        <f t="shared" si="46"/>
        <v/>
      </c>
      <c r="M294" s="67" t="str">
        <f t="shared" si="47"/>
        <v/>
      </c>
      <c r="O294" s="67" t="str">
        <f t="shared" si="48"/>
        <v/>
      </c>
      <c r="P294" s="67"/>
      <c r="Q294" s="67"/>
      <c r="R294" s="67"/>
      <c r="S294" s="67"/>
      <c r="T294" s="67"/>
      <c r="U294" s="67"/>
      <c r="V294" s="67"/>
      <c r="W294" s="67"/>
      <c r="X294" s="67"/>
      <c r="Y294" s="67"/>
      <c r="Z294" s="67"/>
      <c r="AA294" s="67"/>
      <c r="AB294" s="67"/>
      <c r="AC294" s="67"/>
      <c r="AD294" s="67"/>
      <c r="AE294" s="67"/>
      <c r="AF294" s="67"/>
      <c r="AG294" s="67"/>
      <c r="AH294" s="67"/>
      <c r="AI294" s="67"/>
      <c r="AJ294" s="67"/>
      <c r="AK294" s="67"/>
      <c r="AL294" s="67"/>
      <c r="AM294" s="67"/>
      <c r="AN294" s="67"/>
      <c r="AO294" s="67"/>
    </row>
    <row r="295" spans="3:41" x14ac:dyDescent="0.25">
      <c r="C295" s="94" t="str">
        <f t="shared" si="43"/>
        <v/>
      </c>
      <c r="D295" s="95">
        <v>33</v>
      </c>
      <c r="E295" s="96" t="str">
        <f>BUNDESLIGA!F360&amp;IF(OR(BUNDESLIGA!G360="",BUNDESLIGA!H360=""),"",IF(BUNDESLIGA!G360&gt;BUNDESLIGA!H360,"",IF(BUNDESLIGA!G360&lt;BUNDESLIGA!H360,"","")))</f>
        <v>1. FC Köln</v>
      </c>
      <c r="F295" s="96" t="str">
        <f>BUNDESLIGA!I360&amp;IF(OR(BUNDESLIGA!G360="",BUNDESLIGA!H360=""),"",IF(BUNDESLIGA!G360&lt;BUNDESLIGA!H360,"",IF(BUNDESLIGA!G360&gt;BUNDESLIGA!H360,"","")))</f>
        <v>Eintracht Frankfurt</v>
      </c>
      <c r="G295" s="96" t="str">
        <f>IF(BUNDESLIGA!G360&lt;&gt;"",BUNDESLIGA!G360&amp;" - "&amp;BUNDESLIGA!H360,"")</f>
        <v/>
      </c>
      <c r="H295" s="96" t="str">
        <f t="shared" si="49"/>
        <v>1. FC Köln-Eintracht Frankfurt</v>
      </c>
      <c r="I295" s="96" t="str">
        <f t="shared" si="44"/>
        <v/>
      </c>
      <c r="J295" s="97" t="str">
        <f t="shared" si="45"/>
        <v/>
      </c>
      <c r="L295" s="67" t="str">
        <f t="shared" si="46"/>
        <v/>
      </c>
      <c r="M295" s="67" t="str">
        <f t="shared" si="47"/>
        <v/>
      </c>
      <c r="O295" s="67" t="str">
        <f t="shared" si="48"/>
        <v/>
      </c>
      <c r="P295" s="67"/>
      <c r="Q295" s="67"/>
      <c r="R295" s="67"/>
      <c r="S295" s="67"/>
      <c r="T295" s="67"/>
      <c r="U295" s="67"/>
      <c r="V295" s="67"/>
      <c r="W295" s="67"/>
      <c r="X295" s="67"/>
      <c r="Y295" s="67"/>
      <c r="Z295" s="67"/>
      <c r="AA295" s="67"/>
      <c r="AB295" s="67"/>
      <c r="AC295" s="67"/>
      <c r="AD295" s="67"/>
      <c r="AE295" s="67"/>
      <c r="AF295" s="67"/>
      <c r="AG295" s="67"/>
      <c r="AH295" s="67"/>
      <c r="AI295" s="67"/>
      <c r="AJ295" s="67"/>
      <c r="AK295" s="67"/>
      <c r="AL295" s="67"/>
      <c r="AM295" s="67"/>
      <c r="AN295" s="67"/>
      <c r="AO295" s="67"/>
    </row>
    <row r="296" spans="3:41" x14ac:dyDescent="0.25">
      <c r="C296" s="94" t="str">
        <f t="shared" si="43"/>
        <v/>
      </c>
      <c r="D296" s="95">
        <v>33</v>
      </c>
      <c r="E296" s="96" t="str">
        <f>BUNDESLIGA!F361&amp;IF(OR(BUNDESLIGA!G361="",BUNDESLIGA!H361=""),"",IF(BUNDESLIGA!G361&gt;BUNDESLIGA!H361,"",IF(BUNDESLIGA!G361&lt;BUNDESLIGA!H361,"","")))</f>
        <v>1. FSV Mainz 05</v>
      </c>
      <c r="F296" s="96" t="str">
        <f>BUNDESLIGA!I361&amp;IF(OR(BUNDESLIGA!G361="",BUNDESLIGA!H361=""),"",IF(BUNDESLIGA!G361&lt;BUNDESLIGA!H361,"",IF(BUNDESLIGA!G361&gt;BUNDESLIGA!H361,"","")))</f>
        <v>Werder Bremen</v>
      </c>
      <c r="G296" s="96" t="str">
        <f>IF(BUNDESLIGA!G361&lt;&gt;"",BUNDESLIGA!G361&amp;" - "&amp;BUNDESLIGA!H361,"")</f>
        <v/>
      </c>
      <c r="H296" s="96" t="str">
        <f t="shared" si="49"/>
        <v>1. FSV Mainz 05-Werder Bremen</v>
      </c>
      <c r="I296" s="96" t="str">
        <f t="shared" si="44"/>
        <v/>
      </c>
      <c r="J296" s="97" t="str">
        <f t="shared" si="45"/>
        <v/>
      </c>
      <c r="L296" s="67" t="str">
        <f t="shared" si="46"/>
        <v/>
      </c>
      <c r="M296" s="67" t="str">
        <f t="shared" si="47"/>
        <v/>
      </c>
      <c r="O296" s="67" t="str">
        <f t="shared" si="48"/>
        <v/>
      </c>
      <c r="P296" s="67"/>
      <c r="Q296" s="67"/>
      <c r="R296" s="67"/>
      <c r="S296" s="67"/>
      <c r="T296" s="67"/>
      <c r="U296" s="67"/>
      <c r="V296" s="67"/>
      <c r="W296" s="67"/>
      <c r="X296" s="67"/>
      <c r="Y296" s="67"/>
      <c r="Z296" s="67"/>
      <c r="AA296" s="67"/>
      <c r="AB296" s="67"/>
      <c r="AC296" s="67"/>
      <c r="AD296" s="67"/>
      <c r="AE296" s="67"/>
      <c r="AF296" s="67"/>
      <c r="AG296" s="67"/>
      <c r="AH296" s="67"/>
      <c r="AI296" s="67"/>
      <c r="AJ296" s="67"/>
      <c r="AK296" s="67"/>
      <c r="AL296" s="67"/>
      <c r="AM296" s="67"/>
      <c r="AN296" s="67"/>
      <c r="AO296" s="67"/>
    </row>
    <row r="297" spans="3:41" x14ac:dyDescent="0.25">
      <c r="C297" s="94" t="str">
        <f t="shared" si="43"/>
        <v/>
      </c>
      <c r="D297" s="95">
        <v>33</v>
      </c>
      <c r="E297" s="96" t="str">
        <f>BUNDESLIGA!F362&amp;IF(OR(BUNDESLIGA!G362="",BUNDESLIGA!H362=""),"",IF(BUNDESLIGA!G362&gt;BUNDESLIGA!H362,"",IF(BUNDESLIGA!G362&lt;BUNDESLIGA!H362,"","")))</f>
        <v>Bayern München</v>
      </c>
      <c r="F297" s="96" t="str">
        <f>BUNDESLIGA!I362&amp;IF(OR(BUNDESLIGA!G362="",BUNDESLIGA!H362=""),"",IF(BUNDESLIGA!G362&lt;BUNDESLIGA!H362,"",IF(BUNDESLIGA!G362&gt;BUNDESLIGA!H362,"","")))</f>
        <v>SC Freiburg</v>
      </c>
      <c r="G297" s="96" t="str">
        <f>IF(BUNDESLIGA!G362&lt;&gt;"",BUNDESLIGA!G362&amp;" - "&amp;BUNDESLIGA!H362,"")</f>
        <v/>
      </c>
      <c r="H297" s="96" t="str">
        <f t="shared" si="49"/>
        <v>Bayern München-SC Freiburg</v>
      </c>
      <c r="I297" s="96" t="str">
        <f t="shared" si="44"/>
        <v/>
      </c>
      <c r="J297" s="97" t="str">
        <f t="shared" si="45"/>
        <v/>
      </c>
      <c r="L297" s="67" t="str">
        <f t="shared" si="46"/>
        <v/>
      </c>
      <c r="M297" s="67" t="str">
        <f t="shared" si="47"/>
        <v/>
      </c>
      <c r="O297" s="67" t="str">
        <f t="shared" si="48"/>
        <v/>
      </c>
      <c r="P297" s="67"/>
      <c r="Q297" s="67"/>
      <c r="R297" s="67"/>
      <c r="S297" s="67"/>
      <c r="T297" s="67"/>
      <c r="U297" s="67"/>
      <c r="V297" s="67"/>
      <c r="W297" s="67"/>
      <c r="X297" s="67"/>
      <c r="Y297" s="67"/>
      <c r="Z297" s="67"/>
      <c r="AA297" s="67"/>
      <c r="AB297" s="67"/>
      <c r="AC297" s="67"/>
      <c r="AD297" s="67"/>
      <c r="AE297" s="67"/>
      <c r="AF297" s="67"/>
      <c r="AG297" s="67"/>
      <c r="AH297" s="67"/>
      <c r="AI297" s="67"/>
      <c r="AJ297" s="67"/>
      <c r="AK297" s="67"/>
      <c r="AL297" s="67"/>
      <c r="AM297" s="67"/>
      <c r="AN297" s="67"/>
      <c r="AO297" s="67"/>
    </row>
    <row r="298" spans="3:41" x14ac:dyDescent="0.25">
      <c r="C298" s="94">
        <f t="shared" si="43"/>
        <v>33</v>
      </c>
      <c r="D298" s="95">
        <v>33</v>
      </c>
      <c r="E298" s="96" t="str">
        <f>BUNDESLIGA!F363&amp;IF(OR(BUNDESLIGA!G363="",BUNDESLIGA!H363=""),"",IF(BUNDESLIGA!G363&gt;BUNDESLIGA!H363,"",IF(BUNDESLIGA!G363&lt;BUNDESLIGA!H363,"","")))</f>
        <v>Fortuna Düsseldorf</v>
      </c>
      <c r="F298" s="96" t="str">
        <f>BUNDESLIGA!I363&amp;IF(OR(BUNDESLIGA!G363="",BUNDESLIGA!H363=""),"",IF(BUNDESLIGA!G363&lt;BUNDESLIGA!H363,"",IF(BUNDESLIGA!G363&gt;BUNDESLIGA!H363,"","")))</f>
        <v>FC Augsburg</v>
      </c>
      <c r="G298" s="96" t="str">
        <f>IF(BUNDESLIGA!G363&lt;&gt;"",BUNDESLIGA!G363&amp;" - "&amp;BUNDESLIGA!H363,"")</f>
        <v/>
      </c>
      <c r="H298" s="96" t="str">
        <f t="shared" si="49"/>
        <v>Fortuna Düsseldorf-FC Augsburg</v>
      </c>
      <c r="I298" s="96" t="str">
        <f t="shared" si="44"/>
        <v/>
      </c>
      <c r="J298" s="97" t="str">
        <f t="shared" si="45"/>
        <v/>
      </c>
      <c r="L298" s="67" t="str">
        <f t="shared" si="46"/>
        <v/>
      </c>
      <c r="M298" s="67" t="str">
        <f t="shared" si="47"/>
        <v/>
      </c>
      <c r="O298" s="67" t="str">
        <f t="shared" si="48"/>
        <v/>
      </c>
      <c r="P298" s="67"/>
      <c r="Q298" s="67"/>
      <c r="R298" s="67"/>
      <c r="S298" s="67"/>
      <c r="T298" s="67"/>
      <c r="U298" s="67"/>
      <c r="V298" s="67"/>
      <c r="W298" s="67"/>
      <c r="X298" s="67"/>
      <c r="Y298" s="67"/>
      <c r="Z298" s="67"/>
      <c r="AA298" s="67"/>
      <c r="AB298" s="67"/>
      <c r="AC298" s="67"/>
      <c r="AD298" s="67"/>
      <c r="AE298" s="67"/>
      <c r="AF298" s="67"/>
      <c r="AG298" s="67"/>
      <c r="AH298" s="67"/>
      <c r="AI298" s="67"/>
      <c r="AJ298" s="67"/>
      <c r="AK298" s="67"/>
      <c r="AL298" s="67"/>
      <c r="AM298" s="67"/>
      <c r="AN298" s="67"/>
      <c r="AO298" s="67"/>
    </row>
    <row r="299" spans="3:41" x14ac:dyDescent="0.25">
      <c r="C299" s="94" t="str">
        <f t="shared" si="43"/>
        <v/>
      </c>
      <c r="D299" s="95">
        <v>33</v>
      </c>
      <c r="E299" s="96" t="str">
        <f>BUNDESLIGA!F364&amp;IF(OR(BUNDESLIGA!G364="",BUNDESLIGA!H364=""),"",IF(BUNDESLIGA!G364&gt;BUNDESLIGA!H364,"",IF(BUNDESLIGA!G364&lt;BUNDESLIGA!H364,"","")))</f>
        <v>1899 Hoffenheim</v>
      </c>
      <c r="F299" s="96" t="str">
        <f>BUNDESLIGA!I364&amp;IF(OR(BUNDESLIGA!G364="",BUNDESLIGA!H364=""),"",IF(BUNDESLIGA!G364&lt;BUNDESLIGA!H364,"",IF(BUNDESLIGA!G364&gt;BUNDESLIGA!H364,"","")))</f>
        <v>1. FC Union Berlin</v>
      </c>
      <c r="G299" s="96" t="str">
        <f>IF(BUNDESLIGA!G364&lt;&gt;"",BUNDESLIGA!G364&amp;" - "&amp;BUNDESLIGA!H364,"")</f>
        <v/>
      </c>
      <c r="H299" s="96" t="str">
        <f t="shared" si="49"/>
        <v>1899 Hoffenheim-1. FC Union Berlin</v>
      </c>
      <c r="I299" s="96" t="str">
        <f t="shared" si="44"/>
        <v/>
      </c>
      <c r="J299" s="97" t="str">
        <f t="shared" si="45"/>
        <v/>
      </c>
      <c r="L299" s="67" t="str">
        <f t="shared" si="46"/>
        <v/>
      </c>
      <c r="M299" s="67" t="str">
        <f t="shared" si="47"/>
        <v/>
      </c>
      <c r="O299" s="67" t="str">
        <f t="shared" si="48"/>
        <v/>
      </c>
      <c r="P299" s="67"/>
      <c r="Q299" s="67"/>
      <c r="R299" s="67"/>
      <c r="S299" s="67"/>
      <c r="T299" s="67"/>
      <c r="U299" s="67"/>
      <c r="V299" s="67"/>
      <c r="W299" s="67"/>
      <c r="X299" s="67"/>
      <c r="Y299" s="67"/>
      <c r="Z299" s="67"/>
      <c r="AA299" s="67"/>
      <c r="AB299" s="67"/>
      <c r="AC299" s="67"/>
      <c r="AD299" s="67"/>
      <c r="AE299" s="67"/>
      <c r="AF299" s="67"/>
      <c r="AG299" s="67"/>
      <c r="AH299" s="67"/>
      <c r="AI299" s="67"/>
      <c r="AJ299" s="67"/>
      <c r="AK299" s="67"/>
      <c r="AL299" s="67"/>
      <c r="AM299" s="67"/>
      <c r="AN299" s="67"/>
      <c r="AO299" s="67"/>
    </row>
    <row r="300" spans="3:41" x14ac:dyDescent="0.25">
      <c r="C300" s="94" t="str">
        <f t="shared" si="43"/>
        <v/>
      </c>
      <c r="D300" s="95">
        <v>34</v>
      </c>
      <c r="E300" s="96" t="str">
        <f>BUNDESLIGA!F367&amp;IF(OR(BUNDESLIGA!G367="",BUNDESLIGA!H367=""),"",IF(BUNDESLIGA!G367&gt;BUNDESLIGA!H367,"",IF(BUNDESLIGA!G367&lt;BUNDESLIGA!H367,"","")))</f>
        <v>VfL Wolfsburg</v>
      </c>
      <c r="F300" s="96" t="str">
        <f>BUNDESLIGA!I367&amp;IF(OR(BUNDESLIGA!G367="",BUNDESLIGA!H367=""),"",IF(BUNDESLIGA!G367&lt;BUNDESLIGA!H367,"",IF(BUNDESLIGA!G367&gt;BUNDESLIGA!H367,"","")))</f>
        <v>Bayern München</v>
      </c>
      <c r="G300" s="96" t="str">
        <f>IF(BUNDESLIGA!G367&lt;&gt;"",BUNDESLIGA!G367&amp;" - "&amp;BUNDESLIGA!H367,"")</f>
        <v/>
      </c>
      <c r="H300" s="96" t="str">
        <f t="shared" si="49"/>
        <v>VfL Wolfsburg-Bayern München</v>
      </c>
      <c r="I300" s="96" t="str">
        <f t="shared" si="44"/>
        <v/>
      </c>
      <c r="J300" s="97" t="str">
        <f t="shared" si="45"/>
        <v/>
      </c>
      <c r="L300" s="67" t="str">
        <f t="shared" si="46"/>
        <v/>
      </c>
      <c r="M300" s="67" t="str">
        <f t="shared" si="47"/>
        <v/>
      </c>
      <c r="O300" s="67" t="str">
        <f t="shared" si="48"/>
        <v/>
      </c>
      <c r="P300" s="67"/>
      <c r="Q300" s="67"/>
      <c r="R300" s="67"/>
      <c r="S300" s="67"/>
      <c r="T300" s="67"/>
      <c r="U300" s="67"/>
      <c r="V300" s="67"/>
      <c r="W300" s="67"/>
      <c r="X300" s="67"/>
      <c r="Y300" s="67"/>
      <c r="Z300" s="67"/>
      <c r="AA300" s="67"/>
      <c r="AB300" s="67"/>
      <c r="AC300" s="67"/>
      <c r="AD300" s="67"/>
      <c r="AE300" s="67"/>
      <c r="AF300" s="67"/>
      <c r="AG300" s="67"/>
      <c r="AH300" s="67"/>
      <c r="AI300" s="67"/>
      <c r="AJ300" s="67"/>
      <c r="AK300" s="67"/>
      <c r="AL300" s="67"/>
      <c r="AM300" s="67"/>
      <c r="AN300" s="67"/>
      <c r="AO300" s="67"/>
    </row>
    <row r="301" spans="3:41" x14ac:dyDescent="0.25">
      <c r="C301" s="94">
        <f t="shared" si="43"/>
        <v>34</v>
      </c>
      <c r="D301" s="95">
        <v>34</v>
      </c>
      <c r="E301" s="96" t="str">
        <f>BUNDESLIGA!F368&amp;IF(OR(BUNDESLIGA!G368="",BUNDESLIGA!H368=""),"",IF(BUNDESLIGA!G368&gt;BUNDESLIGA!H368,"",IF(BUNDESLIGA!G368&lt;BUNDESLIGA!H368,"","")))</f>
        <v>FC Augsburg</v>
      </c>
      <c r="F301" s="96" t="str">
        <f>BUNDESLIGA!I368&amp;IF(OR(BUNDESLIGA!G368="",BUNDESLIGA!H368=""),"",IF(BUNDESLIGA!G368&lt;BUNDESLIGA!H368,"",IF(BUNDESLIGA!G368&gt;BUNDESLIGA!H368,"","")))</f>
        <v>RB Leipzig</v>
      </c>
      <c r="G301" s="96" t="str">
        <f>IF(BUNDESLIGA!G368&lt;&gt;"",BUNDESLIGA!G368&amp;" - "&amp;BUNDESLIGA!H368,"")</f>
        <v/>
      </c>
      <c r="H301" s="96" t="str">
        <f t="shared" si="49"/>
        <v>FC Augsburg-RB Leipzig</v>
      </c>
      <c r="I301" s="96" t="str">
        <f t="shared" si="44"/>
        <v/>
      </c>
      <c r="J301" s="97" t="str">
        <f t="shared" si="45"/>
        <v/>
      </c>
      <c r="L301" s="67" t="str">
        <f t="shared" si="46"/>
        <v/>
      </c>
      <c r="M301" s="67" t="str">
        <f t="shared" si="47"/>
        <v/>
      </c>
      <c r="O301" s="67" t="str">
        <f t="shared" si="48"/>
        <v/>
      </c>
      <c r="P301" s="67"/>
      <c r="Q301" s="67"/>
      <c r="R301" s="67"/>
      <c r="S301" s="67"/>
      <c r="T301" s="67"/>
      <c r="U301" s="67"/>
      <c r="V301" s="67"/>
      <c r="W301" s="67"/>
      <c r="X301" s="67"/>
      <c r="Y301" s="67"/>
      <c r="Z301" s="67"/>
      <c r="AA301" s="67"/>
      <c r="AB301" s="67"/>
      <c r="AC301" s="67"/>
      <c r="AD301" s="67"/>
      <c r="AE301" s="67"/>
      <c r="AF301" s="67"/>
      <c r="AG301" s="67"/>
      <c r="AH301" s="67"/>
      <c r="AI301" s="67"/>
      <c r="AJ301" s="67"/>
      <c r="AK301" s="67"/>
      <c r="AL301" s="67"/>
      <c r="AM301" s="67"/>
      <c r="AN301" s="67"/>
      <c r="AO301" s="67"/>
    </row>
    <row r="302" spans="3:41" x14ac:dyDescent="0.25">
      <c r="C302" s="94" t="str">
        <f t="shared" si="43"/>
        <v/>
      </c>
      <c r="D302" s="95">
        <v>34</v>
      </c>
      <c r="E302" s="96" t="str">
        <f>BUNDESLIGA!F369&amp;IF(OR(BUNDESLIGA!G369="",BUNDESLIGA!H369=""),"",IF(BUNDESLIGA!G369&gt;BUNDESLIGA!H369,"",IF(BUNDESLIGA!G369&lt;BUNDESLIGA!H369,"","")))</f>
        <v>Borussia Dortmund</v>
      </c>
      <c r="F302" s="96" t="str">
        <f>BUNDESLIGA!I369&amp;IF(OR(BUNDESLIGA!G369="",BUNDESLIGA!H369=""),"",IF(BUNDESLIGA!G369&lt;BUNDESLIGA!H369,"",IF(BUNDESLIGA!G369&gt;BUNDESLIGA!H369,"","")))</f>
        <v>1899 Hoffenheim</v>
      </c>
      <c r="G302" s="96" t="str">
        <f>IF(BUNDESLIGA!G369&lt;&gt;"",BUNDESLIGA!G369&amp;" - "&amp;BUNDESLIGA!H369,"")</f>
        <v/>
      </c>
      <c r="H302" s="96" t="str">
        <f t="shared" si="49"/>
        <v>Borussia Dortmund-1899 Hoffenheim</v>
      </c>
      <c r="I302" s="96" t="str">
        <f t="shared" si="44"/>
        <v/>
      </c>
      <c r="J302" s="97" t="str">
        <f t="shared" si="45"/>
        <v/>
      </c>
      <c r="L302" s="67" t="str">
        <f t="shared" si="46"/>
        <v/>
      </c>
      <c r="M302" s="67" t="str">
        <f t="shared" si="47"/>
        <v/>
      </c>
      <c r="O302" s="67" t="str">
        <f t="shared" si="48"/>
        <v/>
      </c>
      <c r="P302" s="67"/>
      <c r="Q302" s="67"/>
      <c r="R302" s="67"/>
      <c r="S302" s="67"/>
      <c r="T302" s="67"/>
      <c r="U302" s="67"/>
      <c r="V302" s="67"/>
      <c r="W302" s="67"/>
      <c r="X302" s="67"/>
      <c r="Y302" s="67"/>
      <c r="Z302" s="67"/>
      <c r="AA302" s="67"/>
      <c r="AB302" s="67"/>
      <c r="AC302" s="67"/>
      <c r="AD302" s="67"/>
      <c r="AE302" s="67"/>
      <c r="AF302" s="67"/>
      <c r="AG302" s="67"/>
      <c r="AH302" s="67"/>
      <c r="AI302" s="67"/>
      <c r="AJ302" s="67"/>
      <c r="AK302" s="67"/>
      <c r="AL302" s="67"/>
      <c r="AM302" s="67"/>
      <c r="AN302" s="67"/>
      <c r="AO302" s="67"/>
    </row>
    <row r="303" spans="3:41" x14ac:dyDescent="0.25">
      <c r="C303" s="94" t="str">
        <f t="shared" si="43"/>
        <v/>
      </c>
      <c r="D303" s="95">
        <v>34</v>
      </c>
      <c r="E303" s="96" t="str">
        <f>BUNDESLIGA!F370&amp;IF(OR(BUNDESLIGA!G370="",BUNDESLIGA!H370=""),"",IF(BUNDESLIGA!G370&gt;BUNDESLIGA!H370,"",IF(BUNDESLIGA!G370&lt;BUNDESLIGA!H370,"","")))</f>
        <v>1. FC Union Berlin</v>
      </c>
      <c r="F303" s="96" t="str">
        <f>BUNDESLIGA!I370&amp;IF(OR(BUNDESLIGA!G370="",BUNDESLIGA!H370=""),"",IF(BUNDESLIGA!G370&lt;BUNDESLIGA!H370,"",IF(BUNDESLIGA!G370&gt;BUNDESLIGA!H370,"","")))</f>
        <v>Fortuna Düsseldorf</v>
      </c>
      <c r="G303" s="96" t="str">
        <f>IF(BUNDESLIGA!G370&lt;&gt;"",BUNDESLIGA!G370&amp;" - "&amp;BUNDESLIGA!H370,"")</f>
        <v/>
      </c>
      <c r="H303" s="96" t="str">
        <f t="shared" si="49"/>
        <v>1. FC Union Berlin-Fortuna Düsseldorf</v>
      </c>
      <c r="I303" s="96" t="str">
        <f t="shared" si="44"/>
        <v/>
      </c>
      <c r="J303" s="97" t="str">
        <f t="shared" si="45"/>
        <v/>
      </c>
      <c r="L303" s="67" t="str">
        <f t="shared" si="46"/>
        <v/>
      </c>
      <c r="M303" s="67" t="str">
        <f t="shared" si="47"/>
        <v/>
      </c>
      <c r="O303" s="67" t="str">
        <f t="shared" si="48"/>
        <v/>
      </c>
      <c r="P303" s="67"/>
      <c r="Q303" s="67"/>
      <c r="R303" s="67"/>
      <c r="S303" s="67"/>
      <c r="T303" s="67"/>
      <c r="U303" s="67"/>
      <c r="V303" s="67"/>
      <c r="W303" s="67"/>
      <c r="X303" s="67"/>
      <c r="Y303" s="67"/>
      <c r="Z303" s="67"/>
      <c r="AA303" s="67"/>
      <c r="AB303" s="67"/>
      <c r="AC303" s="67"/>
      <c r="AD303" s="67"/>
      <c r="AE303" s="67"/>
      <c r="AF303" s="67"/>
      <c r="AG303" s="67"/>
      <c r="AH303" s="67"/>
      <c r="AI303" s="67"/>
      <c r="AJ303" s="67"/>
      <c r="AK303" s="67"/>
      <c r="AL303" s="67"/>
      <c r="AM303" s="67"/>
      <c r="AN303" s="67"/>
      <c r="AO303" s="67"/>
    </row>
    <row r="304" spans="3:41" x14ac:dyDescent="0.25">
      <c r="C304" s="94" t="str">
        <f t="shared" si="43"/>
        <v/>
      </c>
      <c r="D304" s="95">
        <v>34</v>
      </c>
      <c r="E304" s="96" t="str">
        <f>BUNDESLIGA!F371&amp;IF(OR(BUNDESLIGA!G371="",BUNDESLIGA!H371=""),"",IF(BUNDESLIGA!G371&gt;BUNDESLIGA!H371,"",IF(BUNDESLIGA!G371&lt;BUNDESLIGA!H371,"","")))</f>
        <v>Bor. Mönchengladbach</v>
      </c>
      <c r="F304" s="96" t="str">
        <f>BUNDESLIGA!I371&amp;IF(OR(BUNDESLIGA!G371="",BUNDESLIGA!H371=""),"",IF(BUNDESLIGA!G371&lt;BUNDESLIGA!H371,"",IF(BUNDESLIGA!G371&gt;BUNDESLIGA!H371,"","")))</f>
        <v>Hertha BSC</v>
      </c>
      <c r="G304" s="96" t="str">
        <f>IF(BUNDESLIGA!G371&lt;&gt;"",BUNDESLIGA!G371&amp;" - "&amp;BUNDESLIGA!H371,"")</f>
        <v/>
      </c>
      <c r="H304" s="96" t="str">
        <f t="shared" si="49"/>
        <v>Bor. Mönchengladbach-Hertha BSC</v>
      </c>
      <c r="I304" s="96" t="str">
        <f t="shared" si="44"/>
        <v/>
      </c>
      <c r="J304" s="97" t="str">
        <f t="shared" si="45"/>
        <v/>
      </c>
      <c r="L304" s="67" t="str">
        <f t="shared" si="46"/>
        <v/>
      </c>
      <c r="M304" s="67" t="str">
        <f t="shared" si="47"/>
        <v/>
      </c>
      <c r="O304" s="67" t="str">
        <f t="shared" si="48"/>
        <v/>
      </c>
      <c r="P304" s="67"/>
      <c r="Q304" s="67"/>
      <c r="R304" s="67"/>
      <c r="S304" s="67"/>
      <c r="T304" s="67"/>
      <c r="U304" s="67"/>
      <c r="V304" s="67"/>
      <c r="W304" s="67"/>
      <c r="X304" s="67"/>
      <c r="Y304" s="67"/>
      <c r="Z304" s="67"/>
      <c r="AA304" s="67"/>
      <c r="AB304" s="67"/>
      <c r="AC304" s="67"/>
      <c r="AD304" s="67"/>
      <c r="AE304" s="67"/>
      <c r="AF304" s="67"/>
      <c r="AG304" s="67"/>
      <c r="AH304" s="67"/>
      <c r="AI304" s="67"/>
      <c r="AJ304" s="67"/>
      <c r="AK304" s="67"/>
      <c r="AL304" s="67"/>
      <c r="AM304" s="67"/>
      <c r="AN304" s="67"/>
      <c r="AO304" s="67"/>
    </row>
    <row r="305" spans="3:41" x14ac:dyDescent="0.25">
      <c r="C305" s="94" t="str">
        <f t="shared" si="43"/>
        <v/>
      </c>
      <c r="D305" s="95">
        <v>34</v>
      </c>
      <c r="E305" s="96" t="str">
        <f>BUNDESLIGA!F372&amp;IF(OR(BUNDESLIGA!G372="",BUNDESLIGA!H372=""),"",IF(BUNDESLIGA!G372&gt;BUNDESLIGA!H372,"",IF(BUNDESLIGA!G372&lt;BUNDESLIGA!H372,"","")))</f>
        <v>Bayer Leverkusen</v>
      </c>
      <c r="F305" s="96" t="str">
        <f>BUNDESLIGA!I372&amp;IF(OR(BUNDESLIGA!G372="",BUNDESLIGA!H372=""),"",IF(BUNDESLIGA!G372&lt;BUNDESLIGA!H372,"",IF(BUNDESLIGA!G372&gt;BUNDESLIGA!H372,"","")))</f>
        <v>1. FSV Mainz 05</v>
      </c>
      <c r="G305" s="96" t="str">
        <f>IF(BUNDESLIGA!G372&lt;&gt;"",BUNDESLIGA!G372&amp;" - "&amp;BUNDESLIGA!H372,"")</f>
        <v/>
      </c>
      <c r="H305" s="96" t="str">
        <f t="shared" si="49"/>
        <v>Bayer Leverkusen-1. FSV Mainz 05</v>
      </c>
      <c r="I305" s="96" t="str">
        <f t="shared" si="44"/>
        <v/>
      </c>
      <c r="J305" s="97" t="str">
        <f t="shared" si="45"/>
        <v/>
      </c>
      <c r="L305" s="67" t="str">
        <f t="shared" si="46"/>
        <v/>
      </c>
      <c r="M305" s="67" t="str">
        <f t="shared" si="47"/>
        <v/>
      </c>
      <c r="O305" s="67" t="str">
        <f t="shared" si="48"/>
        <v/>
      </c>
      <c r="P305" s="67"/>
      <c r="Q305" s="67"/>
      <c r="R305" s="67"/>
      <c r="S305" s="67"/>
      <c r="T305" s="67"/>
      <c r="U305" s="67"/>
      <c r="V305" s="67"/>
      <c r="W305" s="67"/>
      <c r="X305" s="67"/>
      <c r="Y305" s="67"/>
      <c r="Z305" s="67"/>
      <c r="AA305" s="67"/>
      <c r="AB305" s="67"/>
      <c r="AC305" s="67"/>
      <c r="AD305" s="67"/>
      <c r="AE305" s="67"/>
      <c r="AF305" s="67"/>
      <c r="AG305" s="67"/>
      <c r="AH305" s="67"/>
      <c r="AI305" s="67"/>
      <c r="AJ305" s="67"/>
      <c r="AK305" s="67"/>
      <c r="AL305" s="67"/>
      <c r="AM305" s="67"/>
      <c r="AN305" s="67"/>
      <c r="AO305" s="67"/>
    </row>
    <row r="306" spans="3:41" x14ac:dyDescent="0.25">
      <c r="C306" s="94" t="str">
        <f t="shared" si="43"/>
        <v/>
      </c>
      <c r="D306" s="95">
        <v>34</v>
      </c>
      <c r="E306" s="96" t="str">
        <f>BUNDESLIGA!F373&amp;IF(OR(BUNDESLIGA!G373="",BUNDESLIGA!H373=""),"",IF(BUNDESLIGA!G373&gt;BUNDESLIGA!H373,"",IF(BUNDESLIGA!G373&lt;BUNDESLIGA!H373,"","")))</f>
        <v>SC Freiburg</v>
      </c>
      <c r="F306" s="96" t="str">
        <f>BUNDESLIGA!I373&amp;IF(OR(BUNDESLIGA!G373="",BUNDESLIGA!H373=""),"",IF(BUNDESLIGA!G373&lt;BUNDESLIGA!H373,"",IF(BUNDESLIGA!G373&gt;BUNDESLIGA!H373,"","")))</f>
        <v>FC Schalke 04</v>
      </c>
      <c r="G306" s="96" t="str">
        <f>IF(BUNDESLIGA!G373&lt;&gt;"",BUNDESLIGA!G373&amp;" - "&amp;BUNDESLIGA!H373,"")</f>
        <v/>
      </c>
      <c r="H306" s="96" t="str">
        <f t="shared" si="49"/>
        <v>SC Freiburg-FC Schalke 04</v>
      </c>
      <c r="I306" s="96" t="str">
        <f t="shared" si="44"/>
        <v/>
      </c>
      <c r="J306" s="97" t="str">
        <f t="shared" si="45"/>
        <v/>
      </c>
      <c r="L306" s="67" t="str">
        <f t="shared" si="46"/>
        <v/>
      </c>
      <c r="M306" s="67" t="str">
        <f t="shared" si="47"/>
        <v/>
      </c>
      <c r="O306" s="67" t="str">
        <f t="shared" si="48"/>
        <v/>
      </c>
      <c r="P306" s="67"/>
      <c r="Q306" s="67"/>
      <c r="R306" s="67"/>
      <c r="S306" s="67"/>
      <c r="T306" s="67"/>
      <c r="U306" s="67"/>
      <c r="V306" s="67"/>
      <c r="W306" s="67"/>
      <c r="X306" s="67"/>
      <c r="Y306" s="67"/>
      <c r="Z306" s="67"/>
      <c r="AA306" s="67"/>
      <c r="AB306" s="67"/>
      <c r="AC306" s="67"/>
      <c r="AD306" s="67"/>
      <c r="AE306" s="67"/>
      <c r="AF306" s="67"/>
      <c r="AG306" s="67"/>
      <c r="AH306" s="67"/>
      <c r="AI306" s="67"/>
      <c r="AJ306" s="67"/>
      <c r="AK306" s="67"/>
      <c r="AL306" s="67"/>
      <c r="AM306" s="67"/>
      <c r="AN306" s="67"/>
      <c r="AO306" s="67"/>
    </row>
    <row r="307" spans="3:41" x14ac:dyDescent="0.25">
      <c r="C307" s="94" t="str">
        <f t="shared" si="43"/>
        <v/>
      </c>
      <c r="D307" s="95">
        <v>34</v>
      </c>
      <c r="E307" s="96" t="str">
        <f>BUNDESLIGA!F374&amp;IF(OR(BUNDESLIGA!G374="",BUNDESLIGA!H374=""),"",IF(BUNDESLIGA!G374&gt;BUNDESLIGA!H374,"",IF(BUNDESLIGA!G374&lt;BUNDESLIGA!H374,"","")))</f>
        <v>Werder Bremen</v>
      </c>
      <c r="F307" s="96" t="str">
        <f>BUNDESLIGA!I374&amp;IF(OR(BUNDESLIGA!G374="",BUNDESLIGA!H374=""),"",IF(BUNDESLIGA!G374&lt;BUNDESLIGA!H374,"",IF(BUNDESLIGA!G374&gt;BUNDESLIGA!H374,"","")))</f>
        <v>1. FC Köln</v>
      </c>
      <c r="G307" s="96" t="str">
        <f>IF(BUNDESLIGA!G374&lt;&gt;"",BUNDESLIGA!G374&amp;" - "&amp;BUNDESLIGA!H374,"")</f>
        <v/>
      </c>
      <c r="H307" s="96" t="str">
        <f t="shared" si="49"/>
        <v>Werder Bremen-1. FC Köln</v>
      </c>
      <c r="I307" s="96" t="str">
        <f t="shared" si="44"/>
        <v/>
      </c>
      <c r="J307" s="97" t="str">
        <f t="shared" si="45"/>
        <v/>
      </c>
      <c r="L307" s="67" t="str">
        <f t="shared" si="46"/>
        <v/>
      </c>
      <c r="M307" s="67" t="str">
        <f t="shared" si="47"/>
        <v/>
      </c>
      <c r="O307" s="67" t="str">
        <f t="shared" si="48"/>
        <v/>
      </c>
      <c r="P307" s="67"/>
      <c r="Q307" s="67"/>
      <c r="R307" s="67"/>
      <c r="S307" s="67"/>
      <c r="T307" s="67"/>
      <c r="U307" s="67"/>
      <c r="V307" s="67"/>
      <c r="W307" s="67"/>
      <c r="X307" s="67"/>
      <c r="Y307" s="67"/>
      <c r="Z307" s="67"/>
      <c r="AA307" s="67"/>
      <c r="AB307" s="67"/>
      <c r="AC307" s="67"/>
      <c r="AD307" s="67"/>
      <c r="AE307" s="67"/>
      <c r="AF307" s="67"/>
      <c r="AG307" s="67"/>
      <c r="AH307" s="67"/>
      <c r="AI307" s="67"/>
      <c r="AJ307" s="67"/>
      <c r="AK307" s="67"/>
      <c r="AL307" s="67"/>
      <c r="AM307" s="67"/>
      <c r="AN307" s="67"/>
      <c r="AO307" s="67"/>
    </row>
    <row r="308" spans="3:41" x14ac:dyDescent="0.25">
      <c r="C308" s="94" t="str">
        <f t="shared" si="43"/>
        <v/>
      </c>
      <c r="D308" s="95">
        <v>34</v>
      </c>
      <c r="E308" s="96" t="str">
        <f>BUNDESLIGA!F375&amp;IF(OR(BUNDESLIGA!G375="",BUNDESLIGA!H375=""),"",IF(BUNDESLIGA!G375&gt;BUNDESLIGA!H375,"",IF(BUNDESLIGA!G375&lt;BUNDESLIGA!H375,"","")))</f>
        <v>Eintracht Frankfurt</v>
      </c>
      <c r="F308" s="96" t="str">
        <f>BUNDESLIGA!I375&amp;IF(OR(BUNDESLIGA!G375="",BUNDESLIGA!H375=""),"",IF(BUNDESLIGA!G375&lt;BUNDESLIGA!H375,"",IF(BUNDESLIGA!G375&gt;BUNDESLIGA!H375,"","")))</f>
        <v>SC Paderborn 07</v>
      </c>
      <c r="G308" s="96" t="str">
        <f>IF(BUNDESLIGA!G375&lt;&gt;"",BUNDESLIGA!G375&amp;" - "&amp;BUNDESLIGA!H375,"")</f>
        <v/>
      </c>
      <c r="H308" s="96" t="str">
        <f t="shared" si="49"/>
        <v>Eintracht Frankfurt-SC Paderborn 07</v>
      </c>
      <c r="I308" s="96" t="str">
        <f t="shared" si="44"/>
        <v/>
      </c>
      <c r="J308" s="97" t="str">
        <f t="shared" si="45"/>
        <v/>
      </c>
      <c r="L308" s="67" t="str">
        <f t="shared" si="46"/>
        <v/>
      </c>
      <c r="M308" s="67" t="str">
        <f t="shared" si="47"/>
        <v/>
      </c>
      <c r="O308" s="67" t="str">
        <f t="shared" si="48"/>
        <v/>
      </c>
      <c r="P308" s="67"/>
      <c r="Q308" s="67"/>
      <c r="R308" s="67"/>
      <c r="S308" s="67"/>
      <c r="T308" s="67"/>
      <c r="U308" s="67"/>
      <c r="V308" s="67"/>
      <c r="W308" s="67"/>
      <c r="X308" s="67"/>
      <c r="Y308" s="67"/>
      <c r="Z308" s="67"/>
      <c r="AA308" s="67"/>
      <c r="AB308" s="67"/>
      <c r="AC308" s="67"/>
      <c r="AD308" s="67"/>
      <c r="AE308" s="67"/>
      <c r="AF308" s="67"/>
      <c r="AG308" s="67"/>
      <c r="AH308" s="67"/>
      <c r="AI308" s="67"/>
      <c r="AJ308" s="67"/>
      <c r="AK308" s="67"/>
      <c r="AL308" s="67"/>
      <c r="AM308" s="67"/>
      <c r="AN308" s="67"/>
      <c r="AO308" s="67"/>
    </row>
    <row r="309" spans="3:41" x14ac:dyDescent="0.25">
      <c r="E309" s="67" t="str">
        <f>BUNDESLIGA!F376&amp;IF(OR(BUNDESLIGA!G376="",BUNDESLIGA!H376=""),"",IF(BUNDESLIGA!G376&gt;BUNDESLIGA!H376,"",IF(BUNDESLIGA!G376&lt;BUNDESLIGA!H376,"","")))</f>
        <v/>
      </c>
      <c r="Q309" s="67"/>
      <c r="R309" s="67"/>
    </row>
    <row r="310" spans="3:41" x14ac:dyDescent="0.25">
      <c r="E310" s="67" t="str">
        <f>BUNDESLIGA!F377&amp;IF(OR(BUNDESLIGA!G377="",BUNDESLIGA!H377=""),"",IF(BUNDESLIGA!G377&gt;BUNDESLIGA!H377,"",IF(BUNDESLIGA!G377&lt;BUNDESLIGA!H377,"","")))</f>
        <v/>
      </c>
    </row>
    <row r="311" spans="3:41" x14ac:dyDescent="0.25">
      <c r="E311" s="67" t="str">
        <f>BUNDESLIGA!F378&amp;IF(OR(BUNDESLIGA!G378="",BUNDESLIGA!H378=""),"",IF(BUNDESLIGA!G378&gt;BUNDESLIGA!H378,"",IF(BUNDESLIGA!G378&lt;BUNDESLIGA!H378,"","")))</f>
        <v/>
      </c>
    </row>
    <row r="312" spans="3:41" x14ac:dyDescent="0.25">
      <c r="E312" s="67" t="str">
        <f>BUNDESLIGA!F379&amp;IF(OR(BUNDESLIGA!G379="",BUNDESLIGA!H379=""),"",IF(BUNDESLIGA!G379&gt;BUNDESLIGA!H379,"",IF(BUNDESLIGA!G379&lt;BUNDESLIGA!H379,"","")))</f>
        <v/>
      </c>
    </row>
    <row r="313" spans="3:41" x14ac:dyDescent="0.25">
      <c r="E313" s="67" t="str">
        <f>BUNDESLIGA!F380&amp;IF(OR(BUNDESLIGA!G380="",BUNDESLIGA!H380=""),"",IF(BUNDESLIGA!G380&gt;BUNDESLIGA!H380,"",IF(BUNDESLIGA!G380&lt;BUNDESLIGA!H380,"","")))</f>
        <v/>
      </c>
    </row>
    <row r="314" spans="3:41" x14ac:dyDescent="0.25">
      <c r="E314" s="67" t="str">
        <f>BUNDESLIGA!F381&amp;IF(OR(BUNDESLIGA!G381="",BUNDESLIGA!H381=""),"",IF(BUNDESLIGA!G381&gt;BUNDESLIGA!H381,"",IF(BUNDESLIGA!G381&lt;BUNDESLIGA!H381,"","")))</f>
        <v/>
      </c>
    </row>
    <row r="315" spans="3:41" x14ac:dyDescent="0.25">
      <c r="E315" s="67" t="str">
        <f>BUNDESLIGA!F382&amp;IF(OR(BUNDESLIGA!G382="",BUNDESLIGA!H382=""),"",IF(BUNDESLIGA!G382&gt;BUNDESLIGA!H382,"",IF(BUNDESLIGA!G382&lt;BUNDESLIGA!H382,"","")))</f>
        <v/>
      </c>
    </row>
    <row r="316" spans="3:41" x14ac:dyDescent="0.25">
      <c r="E316" s="67" t="str">
        <f>BUNDESLIGA!F383&amp;IF(OR(BUNDESLIGA!G383="",BUNDESLIGA!H383=""),"",IF(BUNDESLIGA!G383&gt;BUNDESLIGA!H383,"",IF(BUNDESLIGA!G383&lt;BUNDESLIGA!H383,"","")))</f>
        <v/>
      </c>
    </row>
    <row r="317" spans="3:41" x14ac:dyDescent="0.25">
      <c r="E317" s="67" t="str">
        <f>BUNDESLIGA!F384&amp;IF(OR(BUNDESLIGA!G384="",BUNDESLIGA!H384=""),"",IF(BUNDESLIGA!G384&gt;BUNDESLIGA!H384,"",IF(BUNDESLIGA!G384&lt;BUNDESLIGA!H384,"","")))</f>
        <v/>
      </c>
    </row>
    <row r="318" spans="3:41" x14ac:dyDescent="0.25">
      <c r="E318" s="67" t="str">
        <f>BUNDESLIGA!F385&amp;IF(OR(BUNDESLIGA!G385="",BUNDESLIGA!H385=""),"",IF(BUNDESLIGA!G385&gt;BUNDESLIGA!H385,"",IF(BUNDESLIGA!G385&lt;BUNDESLIGA!H385,"","")))</f>
        <v/>
      </c>
    </row>
    <row r="319" spans="3:41" x14ac:dyDescent="0.25">
      <c r="E319" s="67" t="str">
        <f>BUNDESLIGA!F386&amp;IF(OR(BUNDESLIGA!G386="",BUNDESLIGA!H386=""),"",IF(BUNDESLIGA!G386&gt;BUNDESLIGA!H386,"",IF(BUNDESLIGA!G386&lt;BUNDESLIGA!H386,"","")))</f>
        <v/>
      </c>
    </row>
    <row r="320" spans="3:41" x14ac:dyDescent="0.25">
      <c r="E320" s="67" t="str">
        <f>BUNDESLIGA!F387&amp;IF(OR(BUNDESLIGA!G387="",BUNDESLIGA!H387=""),"",IF(BUNDESLIGA!G387&gt;BUNDESLIGA!H387,"",IF(BUNDESLIGA!G387&lt;BUNDESLIGA!H387,"","")))</f>
        <v/>
      </c>
    </row>
    <row r="321" spans="5:5" x14ac:dyDescent="0.25">
      <c r="E321" s="67" t="str">
        <f>BUNDESLIGA!F388&amp;IF(OR(BUNDESLIGA!G388="",BUNDESLIGA!H388=""),"",IF(BUNDESLIGA!G388&gt;BUNDESLIGA!H388,"",IF(BUNDESLIGA!G388&lt;BUNDESLIGA!H388,"","")))</f>
        <v/>
      </c>
    </row>
    <row r="322" spans="5:5" x14ac:dyDescent="0.25">
      <c r="E322" s="67" t="str">
        <f>BUNDESLIGA!F389&amp;IF(OR(BUNDESLIGA!G389="",BUNDESLIGA!H389=""),"",IF(BUNDESLIGA!G389&gt;BUNDESLIGA!H389,"",IF(BUNDESLIGA!G389&lt;BUNDESLIGA!H389,"","")))</f>
        <v/>
      </c>
    </row>
    <row r="323" spans="5:5" x14ac:dyDescent="0.25">
      <c r="E323" s="67" t="str">
        <f>BUNDESLIGA!F390&amp;IF(OR(BUNDESLIGA!G390="",BUNDESLIGA!H390=""),"",IF(BUNDESLIGA!G390&gt;BUNDESLIGA!H390,"",IF(BUNDESLIGA!G390&lt;BUNDESLIGA!H390,"","")))</f>
        <v/>
      </c>
    </row>
    <row r="324" spans="5:5" x14ac:dyDescent="0.25">
      <c r="E324" s="67" t="str">
        <f>BUNDESLIGA!F391&amp;IF(OR(BUNDESLIGA!G391="",BUNDESLIGA!H391=""),"",IF(BUNDESLIGA!G391&gt;BUNDESLIGA!H391,"",IF(BUNDESLIGA!G391&lt;BUNDESLIGA!H391,"","")))</f>
        <v/>
      </c>
    </row>
    <row r="325" spans="5:5" x14ac:dyDescent="0.25">
      <c r="E325" s="67" t="str">
        <f>BUNDESLIGA!F392&amp;IF(OR(BUNDESLIGA!G392="",BUNDESLIGA!H392=""),"",IF(BUNDESLIGA!G392&gt;BUNDESLIGA!H392,"",IF(BUNDESLIGA!G392&lt;BUNDESLIGA!H392,"","")))</f>
        <v/>
      </c>
    </row>
    <row r="326" spans="5:5" x14ac:dyDescent="0.25">
      <c r="E326" s="67" t="str">
        <f>BUNDESLIGA!F393&amp;IF(OR(BUNDESLIGA!G393="",BUNDESLIGA!H393=""),"",IF(BUNDESLIGA!G393&gt;BUNDESLIGA!H393,"",IF(BUNDESLIGA!G393&lt;BUNDESLIGA!H393,"","")))</f>
        <v/>
      </c>
    </row>
    <row r="327" spans="5:5" x14ac:dyDescent="0.25">
      <c r="E327" s="67" t="str">
        <f>BUNDESLIGA!F394&amp;IF(OR(BUNDESLIGA!G394="",BUNDESLIGA!H394=""),"",IF(BUNDESLIGA!G394&gt;BUNDESLIGA!H394,"",IF(BUNDESLIGA!G394&lt;BUNDESLIGA!H394,"","")))</f>
        <v/>
      </c>
    </row>
    <row r="328" spans="5:5" x14ac:dyDescent="0.25">
      <c r="E328" s="67" t="str">
        <f>BUNDESLIGA!F395&amp;IF(OR(BUNDESLIGA!G395="",BUNDESLIGA!H395=""),"",IF(BUNDESLIGA!G395&gt;BUNDESLIGA!H395,"",IF(BUNDESLIGA!G395&lt;BUNDESLIGA!H395,"","")))</f>
        <v/>
      </c>
    </row>
    <row r="329" spans="5:5" x14ac:dyDescent="0.25">
      <c r="E329" s="67" t="str">
        <f>BUNDESLIGA!F396&amp;IF(OR(BUNDESLIGA!G396="",BUNDESLIGA!H396=""),"",IF(BUNDESLIGA!G396&gt;BUNDESLIGA!H396,"",IF(BUNDESLIGA!G396&lt;BUNDESLIGA!H396,"","")))</f>
        <v/>
      </c>
    </row>
    <row r="330" spans="5:5" x14ac:dyDescent="0.25">
      <c r="E330" s="67" t="str">
        <f>BUNDESLIGA!F397&amp;IF(OR(BUNDESLIGA!G397="",BUNDESLIGA!H397=""),"",IF(BUNDESLIGA!G397&gt;BUNDESLIGA!H397,"",IF(BUNDESLIGA!G397&lt;BUNDESLIGA!H397,"","")))</f>
        <v/>
      </c>
    </row>
    <row r="331" spans="5:5" x14ac:dyDescent="0.25">
      <c r="E331" s="67" t="str">
        <f>BUNDESLIGA!F398&amp;IF(OR(BUNDESLIGA!G398="",BUNDESLIGA!H398=""),"",IF(BUNDESLIGA!G398&gt;BUNDESLIGA!H398,"",IF(BUNDESLIGA!G398&lt;BUNDESLIGA!H398,"","")))</f>
        <v/>
      </c>
    </row>
    <row r="332" spans="5:5" x14ac:dyDescent="0.25">
      <c r="E332" s="67" t="str">
        <f>BUNDESLIGA!F399&amp;IF(OR(BUNDESLIGA!G399="",BUNDESLIGA!H399=""),"",IF(BUNDESLIGA!G399&gt;BUNDESLIGA!H399,"",IF(BUNDESLIGA!G399&lt;BUNDESLIGA!H399,"","")))</f>
        <v/>
      </c>
    </row>
    <row r="333" spans="5:5" x14ac:dyDescent="0.25">
      <c r="E333" s="67" t="str">
        <f>BUNDESLIGA!F400&amp;IF(OR(BUNDESLIGA!G400="",BUNDESLIGA!H400=""),"",IF(BUNDESLIGA!G400&gt;BUNDESLIGA!H400,"",IF(BUNDESLIGA!G400&lt;BUNDESLIGA!H400,"","")))</f>
        <v/>
      </c>
    </row>
    <row r="334" spans="5:5" x14ac:dyDescent="0.25">
      <c r="E334" s="67" t="str">
        <f>BUNDESLIGA!F401&amp;IF(OR(BUNDESLIGA!G401="",BUNDESLIGA!H401=""),"",IF(BUNDESLIGA!G401&gt;BUNDESLIGA!H401,"",IF(BUNDESLIGA!G401&lt;BUNDESLIGA!H401,"","")))</f>
        <v/>
      </c>
    </row>
    <row r="335" spans="5:5" x14ac:dyDescent="0.25">
      <c r="E335" s="67" t="str">
        <f>BUNDESLIGA!F402&amp;IF(OR(BUNDESLIGA!G402="",BUNDESLIGA!H402=""),"",IF(BUNDESLIGA!G402&gt;BUNDESLIGA!H402,"",IF(BUNDESLIGA!G402&lt;BUNDESLIGA!H402,"","")))</f>
        <v/>
      </c>
    </row>
    <row r="336" spans="5:5" x14ac:dyDescent="0.25">
      <c r="E336" s="67" t="str">
        <f>BUNDESLIGA!F403&amp;IF(OR(BUNDESLIGA!G403="",BUNDESLIGA!H403=""),"",IF(BUNDESLIGA!G403&gt;BUNDESLIGA!H403,"",IF(BUNDESLIGA!G403&lt;BUNDESLIGA!H403,"","")))</f>
        <v/>
      </c>
    </row>
    <row r="337" spans="5:5" x14ac:dyDescent="0.25">
      <c r="E337" s="67" t="str">
        <f>BUNDESLIGA!F404&amp;IF(OR(BUNDESLIGA!G404="",BUNDESLIGA!H404=""),"",IF(BUNDESLIGA!G404&gt;BUNDESLIGA!H404,"",IF(BUNDESLIGA!G404&lt;BUNDESLIGA!H404,"","")))</f>
        <v/>
      </c>
    </row>
    <row r="338" spans="5:5" x14ac:dyDescent="0.25">
      <c r="E338" s="67" t="str">
        <f>BUNDESLIGA!F405&amp;IF(OR(BUNDESLIGA!G405="",BUNDESLIGA!H405=""),"",IF(BUNDESLIGA!G405&gt;BUNDESLIGA!H405,"",IF(BUNDESLIGA!G405&lt;BUNDESLIGA!H405,"","")))</f>
        <v/>
      </c>
    </row>
    <row r="339" spans="5:5" x14ac:dyDescent="0.25">
      <c r="E339" s="67" t="str">
        <f>BUNDESLIGA!F406&amp;IF(OR(BUNDESLIGA!G406="",BUNDESLIGA!H406=""),"",IF(BUNDESLIGA!G406&gt;BUNDESLIGA!H406,"",IF(BUNDESLIGA!G406&lt;BUNDESLIGA!H406,"","")))</f>
        <v/>
      </c>
    </row>
    <row r="340" spans="5:5" x14ac:dyDescent="0.25">
      <c r="E340" s="67" t="str">
        <f>BUNDESLIGA!F407&amp;IF(OR(BUNDESLIGA!G407="",BUNDESLIGA!H407=""),"",IF(BUNDESLIGA!G407&gt;BUNDESLIGA!H407,"",IF(BUNDESLIGA!G407&lt;BUNDESLIGA!H407,"","")))</f>
        <v/>
      </c>
    </row>
    <row r="341" spans="5:5" x14ac:dyDescent="0.25">
      <c r="E341" s="67" t="str">
        <f>BUNDESLIGA!F408&amp;IF(OR(BUNDESLIGA!G408="",BUNDESLIGA!H408=""),"",IF(BUNDESLIGA!G408&gt;BUNDESLIGA!H408,"",IF(BUNDESLIGA!G408&lt;BUNDESLIGA!H408,"","")))</f>
        <v/>
      </c>
    </row>
    <row r="342" spans="5:5" x14ac:dyDescent="0.25">
      <c r="E342" s="67" t="str">
        <f>BUNDESLIGA!F409&amp;IF(OR(BUNDESLIGA!G409="",BUNDESLIGA!H409=""),"",IF(BUNDESLIGA!G409&gt;BUNDESLIGA!H409,"",IF(BUNDESLIGA!G409&lt;BUNDESLIGA!H409,"","")))</f>
        <v/>
      </c>
    </row>
    <row r="343" spans="5:5" x14ac:dyDescent="0.25">
      <c r="E343" s="67" t="str">
        <f>BUNDESLIGA!F410&amp;IF(OR(BUNDESLIGA!G410="",BUNDESLIGA!H410=""),"",IF(BUNDESLIGA!G410&gt;BUNDESLIGA!H410,"",IF(BUNDESLIGA!G410&lt;BUNDESLIGA!H410,"","")))</f>
        <v/>
      </c>
    </row>
    <row r="344" spans="5:5" x14ac:dyDescent="0.25">
      <c r="E344" s="67" t="str">
        <f>BUNDESLIGA!F411&amp;IF(OR(BUNDESLIGA!G411="",BUNDESLIGA!H411=""),"",IF(BUNDESLIGA!G411&gt;BUNDESLIGA!H411,"",IF(BUNDESLIGA!G411&lt;BUNDESLIGA!H411,"","")))</f>
        <v/>
      </c>
    </row>
    <row r="345" spans="5:5" x14ac:dyDescent="0.25">
      <c r="E345" s="67" t="str">
        <f>BUNDESLIGA!F412&amp;IF(OR(BUNDESLIGA!G412="",BUNDESLIGA!H412=""),"",IF(BUNDESLIGA!G412&gt;BUNDESLIGA!H412,"",IF(BUNDESLIGA!G412&lt;BUNDESLIGA!H412,"","")))</f>
        <v/>
      </c>
    </row>
    <row r="346" spans="5:5" x14ac:dyDescent="0.25">
      <c r="E346" s="67" t="str">
        <f>BUNDESLIGA!F413&amp;IF(OR(BUNDESLIGA!G413="",BUNDESLIGA!H413=""),"",IF(BUNDESLIGA!G413&gt;BUNDESLIGA!H413,"",IF(BUNDESLIGA!G413&lt;BUNDESLIGA!H413,"","")))</f>
        <v/>
      </c>
    </row>
    <row r="347" spans="5:5" x14ac:dyDescent="0.25">
      <c r="E347" s="67" t="str">
        <f>BUNDESLIGA!F414&amp;IF(OR(BUNDESLIGA!G414="",BUNDESLIGA!H414=""),"",IF(BUNDESLIGA!G414&gt;BUNDESLIGA!H414,"",IF(BUNDESLIGA!G414&lt;BUNDESLIGA!H414,"","")))</f>
        <v/>
      </c>
    </row>
    <row r="348" spans="5:5" x14ac:dyDescent="0.25">
      <c r="E348" s="67" t="str">
        <f>BUNDESLIGA!F415&amp;IF(OR(BUNDESLIGA!G415="",BUNDESLIGA!H415=""),"",IF(BUNDESLIGA!G415&gt;BUNDESLIGA!H415,"",IF(BUNDESLIGA!G415&lt;BUNDESLIGA!H415,"","")))</f>
        <v/>
      </c>
    </row>
    <row r="349" spans="5:5" x14ac:dyDescent="0.25">
      <c r="E349" s="67" t="str">
        <f>BUNDESLIGA!F416&amp;IF(OR(BUNDESLIGA!G416="",BUNDESLIGA!H416=""),"",IF(BUNDESLIGA!G416&gt;BUNDESLIGA!H416,"",IF(BUNDESLIGA!G416&lt;BUNDESLIGA!H416,"","")))</f>
        <v/>
      </c>
    </row>
    <row r="350" spans="5:5" x14ac:dyDescent="0.25">
      <c r="E350" s="67" t="str">
        <f>BUNDESLIGA!F417&amp;IF(OR(BUNDESLIGA!G417="",BUNDESLIGA!H417=""),"",IF(BUNDESLIGA!G417&gt;BUNDESLIGA!H417,"",IF(BUNDESLIGA!G417&lt;BUNDESLIGA!H417,"","")))</f>
        <v/>
      </c>
    </row>
    <row r="351" spans="5:5" x14ac:dyDescent="0.25">
      <c r="E351" s="67" t="str">
        <f>BUNDESLIGA!F418&amp;IF(OR(BUNDESLIGA!G418="",BUNDESLIGA!H418=""),"",IF(BUNDESLIGA!G418&gt;BUNDESLIGA!H418,"",IF(BUNDESLIGA!G418&lt;BUNDESLIGA!H418,"","")))</f>
        <v/>
      </c>
    </row>
    <row r="352" spans="5:5" x14ac:dyDescent="0.25">
      <c r="E352" s="67" t="str">
        <f>BUNDESLIGA!F419&amp;IF(OR(BUNDESLIGA!G419="",BUNDESLIGA!H419=""),"",IF(BUNDESLIGA!G419&gt;BUNDESLIGA!H419,"",IF(BUNDESLIGA!G419&lt;BUNDESLIGA!H419,"","")))</f>
        <v/>
      </c>
    </row>
    <row r="353" spans="5:5" x14ac:dyDescent="0.25">
      <c r="E353" s="67" t="str">
        <f>BUNDESLIGA!F420&amp;IF(OR(BUNDESLIGA!G420="",BUNDESLIGA!H420=""),"",IF(BUNDESLIGA!G420&gt;BUNDESLIGA!H420,"",IF(BUNDESLIGA!G420&lt;BUNDESLIGA!H420,"","")))</f>
        <v/>
      </c>
    </row>
    <row r="354" spans="5:5" x14ac:dyDescent="0.25">
      <c r="E354" s="67" t="str">
        <f>BUNDESLIGA!F421&amp;IF(OR(BUNDESLIGA!G421="",BUNDESLIGA!H421=""),"",IF(BUNDESLIGA!G421&gt;BUNDESLIGA!H421,"",IF(BUNDESLIGA!G421&lt;BUNDESLIGA!H421,"","")))</f>
        <v/>
      </c>
    </row>
    <row r="355" spans="5:5" x14ac:dyDescent="0.25">
      <c r="E355" s="67" t="str">
        <f>BUNDESLIGA!F422&amp;IF(OR(BUNDESLIGA!G422="",BUNDESLIGA!H422=""),"",IF(BUNDESLIGA!G422&gt;BUNDESLIGA!H422,"",IF(BUNDESLIGA!G422&lt;BUNDESLIGA!H422,"","")))</f>
        <v/>
      </c>
    </row>
    <row r="356" spans="5:5" x14ac:dyDescent="0.25">
      <c r="E356" s="67" t="str">
        <f>BUNDESLIGA!F423&amp;IF(OR(BUNDESLIGA!G423="",BUNDESLIGA!H423=""),"",IF(BUNDESLIGA!G423&gt;BUNDESLIGA!H423,"",IF(BUNDESLIGA!G423&lt;BUNDESLIGA!H423,"","")))</f>
        <v/>
      </c>
    </row>
    <row r="357" spans="5:5" x14ac:dyDescent="0.25">
      <c r="E357" s="67" t="str">
        <f>BUNDESLIGA!F424&amp;IF(OR(BUNDESLIGA!G424="",BUNDESLIGA!H424=""),"",IF(BUNDESLIGA!G424&gt;BUNDESLIGA!H424,"",IF(BUNDESLIGA!G424&lt;BUNDESLIGA!H424,"","")))</f>
        <v/>
      </c>
    </row>
    <row r="358" spans="5:5" x14ac:dyDescent="0.25">
      <c r="E358" s="67" t="str">
        <f>BUNDESLIGA!F425&amp;IF(OR(BUNDESLIGA!G425="",BUNDESLIGA!H425=""),"",IF(BUNDESLIGA!G425&gt;BUNDESLIGA!H425,"",IF(BUNDESLIGA!G425&lt;BUNDESLIGA!H425,"","")))</f>
        <v/>
      </c>
    </row>
    <row r="359" spans="5:5" x14ac:dyDescent="0.25">
      <c r="E359" s="67" t="str">
        <f>BUNDESLIGA!F426&amp;IF(OR(BUNDESLIGA!G426="",BUNDESLIGA!H426=""),"",IF(BUNDESLIGA!G426&gt;BUNDESLIGA!H426,"",IF(BUNDESLIGA!G426&lt;BUNDESLIGA!H426,"","")))</f>
        <v/>
      </c>
    </row>
    <row r="360" spans="5:5" x14ac:dyDescent="0.25">
      <c r="E360" s="67" t="str">
        <f>BUNDESLIGA!F427&amp;IF(OR(BUNDESLIGA!G427="",BUNDESLIGA!H427=""),"",IF(BUNDESLIGA!G427&gt;BUNDESLIGA!H427,"",IF(BUNDESLIGA!G427&lt;BUNDESLIGA!H427,"","")))</f>
        <v/>
      </c>
    </row>
    <row r="361" spans="5:5" x14ac:dyDescent="0.25">
      <c r="E361" s="67" t="str">
        <f>BUNDESLIGA!F428&amp;IF(OR(BUNDESLIGA!G428="",BUNDESLIGA!H428=""),"",IF(BUNDESLIGA!G428&gt;BUNDESLIGA!H428,"",IF(BUNDESLIGA!G428&lt;BUNDESLIGA!H428,"","")))</f>
        <v/>
      </c>
    </row>
    <row r="362" spans="5:5" x14ac:dyDescent="0.25">
      <c r="E362" s="67" t="str">
        <f>BUNDESLIGA!F429&amp;IF(OR(BUNDESLIGA!G429="",BUNDESLIGA!H429=""),"",IF(BUNDESLIGA!G429&gt;BUNDESLIGA!H429,"",IF(BUNDESLIGA!G429&lt;BUNDESLIGA!H429,"","")))</f>
        <v/>
      </c>
    </row>
    <row r="363" spans="5:5" x14ac:dyDescent="0.25">
      <c r="E363" s="67" t="str">
        <f>BUNDESLIGA!F430&amp;IF(OR(BUNDESLIGA!G430="",BUNDESLIGA!H430=""),"",IF(BUNDESLIGA!G430&gt;BUNDESLIGA!H430,"",IF(BUNDESLIGA!G430&lt;BUNDESLIGA!H430,"","")))</f>
        <v/>
      </c>
    </row>
    <row r="364" spans="5:5" x14ac:dyDescent="0.25">
      <c r="E364" s="67" t="str">
        <f>BUNDESLIGA!F431&amp;IF(OR(BUNDESLIGA!G431="",BUNDESLIGA!H431=""),"",IF(BUNDESLIGA!G431&gt;BUNDESLIGA!H431,"",IF(BUNDESLIGA!G431&lt;BUNDESLIGA!H431,"","")))</f>
        <v/>
      </c>
    </row>
    <row r="365" spans="5:5" x14ac:dyDescent="0.25">
      <c r="E365" s="67" t="str">
        <f>BUNDESLIGA!F432&amp;IF(OR(BUNDESLIGA!G432="",BUNDESLIGA!H432=""),"",IF(BUNDESLIGA!G432&gt;BUNDESLIGA!H432,"",IF(BUNDESLIGA!G432&lt;BUNDESLIGA!H432,"","")))</f>
        <v/>
      </c>
    </row>
    <row r="366" spans="5:5" x14ac:dyDescent="0.25">
      <c r="E366" s="67" t="str">
        <f>BUNDESLIGA!F433&amp;IF(OR(BUNDESLIGA!G433="",BUNDESLIGA!H433=""),"",IF(BUNDESLIGA!G433&gt;BUNDESLIGA!H433,"",IF(BUNDESLIGA!G433&lt;BUNDESLIGA!H433,"","")))</f>
        <v/>
      </c>
    </row>
    <row r="367" spans="5:5" x14ac:dyDescent="0.25">
      <c r="E367" s="67" t="str">
        <f>BUNDESLIGA!F434&amp;IF(OR(BUNDESLIGA!G434="",BUNDESLIGA!H434=""),"",IF(BUNDESLIGA!G434&gt;BUNDESLIGA!H434,"",IF(BUNDESLIGA!G434&lt;BUNDESLIGA!H434,"","")))</f>
        <v/>
      </c>
    </row>
    <row r="368" spans="5:5" x14ac:dyDescent="0.25">
      <c r="E368" s="67" t="str">
        <f>BUNDESLIGA!F435&amp;IF(OR(BUNDESLIGA!G435="",BUNDESLIGA!H435=""),"",IF(BUNDESLIGA!G435&gt;BUNDESLIGA!H435,"",IF(BUNDESLIGA!G435&lt;BUNDESLIGA!H435,"","")))</f>
        <v/>
      </c>
    </row>
    <row r="369" spans="5:5" x14ac:dyDescent="0.25">
      <c r="E369" s="67" t="str">
        <f>BUNDESLIGA!F436&amp;IF(OR(BUNDESLIGA!G436="",BUNDESLIGA!H436=""),"",IF(BUNDESLIGA!G436&gt;BUNDESLIGA!H436,"",IF(BUNDESLIGA!G436&lt;BUNDESLIGA!H436,"","")))</f>
        <v/>
      </c>
    </row>
    <row r="370" spans="5:5" x14ac:dyDescent="0.25">
      <c r="E370" s="67" t="str">
        <f>BUNDESLIGA!F437&amp;IF(OR(BUNDESLIGA!G437="",BUNDESLIGA!H437=""),"",IF(BUNDESLIGA!G437&gt;BUNDESLIGA!H437,"",IF(BUNDESLIGA!G437&lt;BUNDESLIGA!H437,"","")))</f>
        <v/>
      </c>
    </row>
    <row r="371" spans="5:5" x14ac:dyDescent="0.25">
      <c r="E371" s="67" t="str">
        <f>BUNDESLIGA!F438&amp;IF(OR(BUNDESLIGA!G438="",BUNDESLIGA!H438=""),"",IF(BUNDESLIGA!G438&gt;BUNDESLIGA!H438,"",IF(BUNDESLIGA!G438&lt;BUNDESLIGA!H438,"","")))</f>
        <v/>
      </c>
    </row>
    <row r="372" spans="5:5" x14ac:dyDescent="0.25">
      <c r="E372" s="67" t="str">
        <f>BUNDESLIGA!F439&amp;IF(OR(BUNDESLIGA!G439="",BUNDESLIGA!H439=""),"",IF(BUNDESLIGA!G439&gt;BUNDESLIGA!H439,"",IF(BUNDESLIGA!G439&lt;BUNDESLIGA!H439,"","")))</f>
        <v/>
      </c>
    </row>
    <row r="373" spans="5:5" x14ac:dyDescent="0.25">
      <c r="E373" s="67" t="str">
        <f>BUNDESLIGA!F440&amp;IF(OR(BUNDESLIGA!G440="",BUNDESLIGA!H440=""),"",IF(BUNDESLIGA!G440&gt;BUNDESLIGA!H440,"",IF(BUNDESLIGA!G440&lt;BUNDESLIGA!H440,"","")))</f>
        <v/>
      </c>
    </row>
    <row r="374" spans="5:5" x14ac:dyDescent="0.25">
      <c r="E374" s="67" t="str">
        <f>BUNDESLIGA!F441&amp;IF(OR(BUNDESLIGA!G441="",BUNDESLIGA!H441=""),"",IF(BUNDESLIGA!G441&gt;BUNDESLIGA!H441,"",IF(BUNDESLIGA!G441&lt;BUNDESLIGA!H441,"","")))</f>
        <v/>
      </c>
    </row>
    <row r="375" spans="5:5" x14ac:dyDescent="0.25">
      <c r="E375" s="67" t="str">
        <f>BUNDESLIGA!F442&amp;IF(OR(BUNDESLIGA!G442="",BUNDESLIGA!H442=""),"",IF(BUNDESLIGA!G442&gt;BUNDESLIGA!H442,"",IF(BUNDESLIGA!G442&lt;BUNDESLIGA!H442,"","")))</f>
        <v/>
      </c>
    </row>
    <row r="376" spans="5:5" x14ac:dyDescent="0.25">
      <c r="E376" s="67" t="str">
        <f>BUNDESLIGA!F443&amp;IF(OR(BUNDESLIGA!G443="",BUNDESLIGA!H443=""),"",IF(BUNDESLIGA!G443&gt;BUNDESLIGA!H443,"",IF(BUNDESLIGA!G443&lt;BUNDESLIGA!H443,"","")))</f>
        <v/>
      </c>
    </row>
    <row r="377" spans="5:5" x14ac:dyDescent="0.25">
      <c r="E377" s="67" t="str">
        <f>BUNDESLIGA!F444&amp;IF(OR(BUNDESLIGA!G444="",BUNDESLIGA!H444=""),"",IF(BUNDESLIGA!G444&gt;BUNDESLIGA!H444,"",IF(BUNDESLIGA!G444&lt;BUNDESLIGA!H444,"","")))</f>
        <v/>
      </c>
    </row>
    <row r="378" spans="5:5" x14ac:dyDescent="0.25">
      <c r="E378" s="67" t="str">
        <f>BUNDESLIGA!F445&amp;IF(OR(BUNDESLIGA!G445="",BUNDESLIGA!H445=""),"",IF(BUNDESLIGA!G445&gt;BUNDESLIGA!H445,"",IF(BUNDESLIGA!G445&lt;BUNDESLIGA!H445,"","")))</f>
        <v/>
      </c>
    </row>
    <row r="379" spans="5:5" x14ac:dyDescent="0.25">
      <c r="E379" s="67" t="str">
        <f>BUNDESLIGA!F446&amp;IF(OR(BUNDESLIGA!G446="",BUNDESLIGA!H446=""),"",IF(BUNDESLIGA!G446&gt;BUNDESLIGA!H446,"",IF(BUNDESLIGA!G446&lt;BUNDESLIGA!H446,"","")))</f>
        <v/>
      </c>
    </row>
    <row r="380" spans="5:5" x14ac:dyDescent="0.25">
      <c r="E380" s="67" t="str">
        <f>BUNDESLIGA!F447&amp;IF(OR(BUNDESLIGA!G447="",BUNDESLIGA!H447=""),"",IF(BUNDESLIGA!G447&gt;BUNDESLIGA!H447,"",IF(BUNDESLIGA!G447&lt;BUNDESLIGA!H447,"","")))</f>
        <v/>
      </c>
    </row>
    <row r="381" spans="5:5" x14ac:dyDescent="0.25">
      <c r="E381" s="67" t="str">
        <f>BUNDESLIGA!F448&amp;IF(OR(BUNDESLIGA!G448="",BUNDESLIGA!H448=""),"",IF(BUNDESLIGA!G448&gt;BUNDESLIGA!H448,"",IF(BUNDESLIGA!G448&lt;BUNDESLIGA!H448,"","")))</f>
        <v/>
      </c>
    </row>
    <row r="382" spans="5:5" x14ac:dyDescent="0.25">
      <c r="E382" s="67" t="str">
        <f>BUNDESLIGA!F449&amp;IF(OR(BUNDESLIGA!G449="",BUNDESLIGA!H449=""),"",IF(BUNDESLIGA!G449&gt;BUNDESLIGA!H449,"",IF(BUNDESLIGA!G449&lt;BUNDESLIGA!H449,"","")))</f>
        <v/>
      </c>
    </row>
    <row r="383" spans="5:5" x14ac:dyDescent="0.25">
      <c r="E383" s="67" t="str">
        <f>BUNDESLIGA!F450&amp;IF(OR(BUNDESLIGA!G450="",BUNDESLIGA!H450=""),"",IF(BUNDESLIGA!G450&gt;BUNDESLIGA!H450,"",IF(BUNDESLIGA!G450&lt;BUNDESLIGA!H450,"","")))</f>
        <v/>
      </c>
    </row>
    <row r="384" spans="5:5" x14ac:dyDescent="0.25">
      <c r="E384" s="67" t="str">
        <f>BUNDESLIGA!F451&amp;IF(OR(BUNDESLIGA!G451="",BUNDESLIGA!H451=""),"",IF(BUNDESLIGA!G451&gt;BUNDESLIGA!H451,"",IF(BUNDESLIGA!G451&lt;BUNDESLIGA!H451,"","")))</f>
        <v/>
      </c>
    </row>
    <row r="385" spans="5:5" x14ac:dyDescent="0.25">
      <c r="E385" s="67" t="str">
        <f>BUNDESLIGA!F452&amp;IF(OR(BUNDESLIGA!G452="",BUNDESLIGA!H452=""),"",IF(BUNDESLIGA!G452&gt;BUNDESLIGA!H452,"",IF(BUNDESLIGA!G452&lt;BUNDESLIGA!H452,"","")))</f>
        <v/>
      </c>
    </row>
    <row r="386" spans="5:5" x14ac:dyDescent="0.25">
      <c r="E386" s="67" t="str">
        <f>BUNDESLIGA!F453&amp;IF(OR(BUNDESLIGA!G453="",BUNDESLIGA!H453=""),"",IF(BUNDESLIGA!G453&gt;BUNDESLIGA!H453,"",IF(BUNDESLIGA!G453&lt;BUNDESLIGA!H453,"","")))</f>
        <v/>
      </c>
    </row>
    <row r="387" spans="5:5" x14ac:dyDescent="0.25">
      <c r="E387" s="67" t="str">
        <f>BUNDESLIGA!F454&amp;IF(OR(BUNDESLIGA!G454="",BUNDESLIGA!H454=""),"",IF(BUNDESLIGA!G454&gt;BUNDESLIGA!H454,"",IF(BUNDESLIGA!G454&lt;BUNDESLIGA!H454,"","")))</f>
        <v/>
      </c>
    </row>
    <row r="388" spans="5:5" x14ac:dyDescent="0.25">
      <c r="E388" s="67" t="str">
        <f>BUNDESLIGA!F455&amp;IF(OR(BUNDESLIGA!G455="",BUNDESLIGA!H455=""),"",IF(BUNDESLIGA!G455&gt;BUNDESLIGA!H455,"",IF(BUNDESLIGA!G455&lt;BUNDESLIGA!H455,"","")))</f>
        <v/>
      </c>
    </row>
    <row r="389" spans="5:5" x14ac:dyDescent="0.25">
      <c r="E389" s="67" t="str">
        <f>BUNDESLIGA!F456&amp;IF(OR(BUNDESLIGA!G456="",BUNDESLIGA!H456=""),"",IF(BUNDESLIGA!G456&gt;BUNDESLIGA!H456,"",IF(BUNDESLIGA!G456&lt;BUNDESLIGA!H456,"","")))</f>
        <v/>
      </c>
    </row>
    <row r="390" spans="5:5" x14ac:dyDescent="0.25">
      <c r="E390" s="67" t="str">
        <f>BUNDESLIGA!F457&amp;IF(OR(BUNDESLIGA!G457="",BUNDESLIGA!H457=""),"",IF(BUNDESLIGA!G457&gt;BUNDESLIGA!H457,"",IF(BUNDESLIGA!G457&lt;BUNDESLIGA!H457,"","")))</f>
        <v/>
      </c>
    </row>
    <row r="391" spans="5:5" x14ac:dyDescent="0.25">
      <c r="E391" s="67" t="str">
        <f>BUNDESLIGA!F458&amp;IF(OR(BUNDESLIGA!G458="",BUNDESLIGA!H458=""),"",IF(BUNDESLIGA!G458&gt;BUNDESLIGA!H458,"",IF(BUNDESLIGA!G458&lt;BUNDESLIGA!H458,"","")))</f>
        <v/>
      </c>
    </row>
    <row r="392" spans="5:5" x14ac:dyDescent="0.25">
      <c r="E392" s="67" t="str">
        <f>BUNDESLIGA!F459&amp;IF(OR(BUNDESLIGA!G459="",BUNDESLIGA!H459=""),"",IF(BUNDESLIGA!G459&gt;BUNDESLIGA!H459,"",IF(BUNDESLIGA!G459&lt;BUNDESLIGA!H459,"","")))</f>
        <v/>
      </c>
    </row>
    <row r="393" spans="5:5" x14ac:dyDescent="0.25">
      <c r="E393" s="67" t="str">
        <f>BUNDESLIGA!F460&amp;IF(OR(BUNDESLIGA!G460="",BUNDESLIGA!H460=""),"",IF(BUNDESLIGA!G460&gt;BUNDESLIGA!H460,"",IF(BUNDESLIGA!G460&lt;BUNDESLIGA!H460,"","")))</f>
        <v/>
      </c>
    </row>
    <row r="394" spans="5:5" x14ac:dyDescent="0.25">
      <c r="E394" s="67" t="str">
        <f>BUNDESLIGA!F461&amp;IF(OR(BUNDESLIGA!G461="",BUNDESLIGA!H461=""),"",IF(BUNDESLIGA!G461&gt;BUNDESLIGA!H461,"",IF(BUNDESLIGA!G461&lt;BUNDESLIGA!H461,"","")))</f>
        <v/>
      </c>
    </row>
    <row r="395" spans="5:5" x14ac:dyDescent="0.25">
      <c r="E395" s="67" t="str">
        <f>BUNDESLIGA!F462&amp;IF(OR(BUNDESLIGA!G462="",BUNDESLIGA!H462=""),"",IF(BUNDESLIGA!G462&gt;BUNDESLIGA!H462,"",IF(BUNDESLIGA!G462&lt;BUNDESLIGA!H462,"","")))</f>
        <v/>
      </c>
    </row>
    <row r="396" spans="5:5" x14ac:dyDescent="0.25">
      <c r="E396" s="67" t="str">
        <f>BUNDESLIGA!F463&amp;IF(OR(BUNDESLIGA!G463="",BUNDESLIGA!H463=""),"",IF(BUNDESLIGA!G463&gt;BUNDESLIGA!H463,"",IF(BUNDESLIGA!G463&lt;BUNDESLIGA!H463,"","")))</f>
        <v/>
      </c>
    </row>
    <row r="397" spans="5:5" x14ac:dyDescent="0.25">
      <c r="E397" s="67" t="str">
        <f>BUNDESLIGA!F464&amp;IF(OR(BUNDESLIGA!G464="",BUNDESLIGA!H464=""),"",IF(BUNDESLIGA!G464&gt;BUNDESLIGA!H464,"",IF(BUNDESLIGA!G464&lt;BUNDESLIGA!H464,"","")))</f>
        <v/>
      </c>
    </row>
    <row r="398" spans="5:5" x14ac:dyDescent="0.25">
      <c r="E398" s="67" t="str">
        <f>BUNDESLIGA!F465&amp;IF(OR(BUNDESLIGA!G465="",BUNDESLIGA!H465=""),"",IF(BUNDESLIGA!G465&gt;BUNDESLIGA!H465,"",IF(BUNDESLIGA!G465&lt;BUNDESLIGA!H465,"","")))</f>
        <v/>
      </c>
    </row>
    <row r="399" spans="5:5" x14ac:dyDescent="0.25">
      <c r="E399" s="67" t="str">
        <f>BUNDESLIGA!F466&amp;IF(OR(BUNDESLIGA!G466="",BUNDESLIGA!H466=""),"",IF(BUNDESLIGA!G466&gt;BUNDESLIGA!H466,"",IF(BUNDESLIGA!G466&lt;BUNDESLIGA!H466,"","")))</f>
        <v/>
      </c>
    </row>
    <row r="400" spans="5:5" x14ac:dyDescent="0.25">
      <c r="E400" s="67" t="str">
        <f>BUNDESLIGA!F467&amp;IF(OR(BUNDESLIGA!G467="",BUNDESLIGA!H467=""),"",IF(BUNDESLIGA!G467&gt;BUNDESLIGA!H467,"",IF(BUNDESLIGA!G467&lt;BUNDESLIGA!H467,"","")))</f>
        <v/>
      </c>
    </row>
    <row r="401" spans="5:5" x14ac:dyDescent="0.25">
      <c r="E401" s="67" t="str">
        <f>BUNDESLIGA!F468&amp;IF(OR(BUNDESLIGA!G468="",BUNDESLIGA!H468=""),"",IF(BUNDESLIGA!G468&gt;BUNDESLIGA!H468,"",IF(BUNDESLIGA!G468&lt;BUNDESLIGA!H468,"","")))</f>
        <v/>
      </c>
    </row>
    <row r="402" spans="5:5" x14ac:dyDescent="0.25">
      <c r="E402" s="67" t="str">
        <f>BUNDESLIGA!F469&amp;IF(OR(BUNDESLIGA!G469="",BUNDESLIGA!H469=""),"",IF(BUNDESLIGA!G469&gt;BUNDESLIGA!H469,"",IF(BUNDESLIGA!G469&lt;BUNDESLIGA!H469,"","")))</f>
        <v/>
      </c>
    </row>
    <row r="403" spans="5:5" x14ac:dyDescent="0.25">
      <c r="E403" s="67" t="str">
        <f>BUNDESLIGA!F470&amp;IF(OR(BUNDESLIGA!G470="",BUNDESLIGA!H470=""),"",IF(BUNDESLIGA!G470&gt;BUNDESLIGA!H470,"",IF(BUNDESLIGA!G470&lt;BUNDESLIGA!H470,"","")))</f>
        <v/>
      </c>
    </row>
    <row r="404" spans="5:5" x14ac:dyDescent="0.25">
      <c r="E404" s="67" t="str">
        <f>BUNDESLIGA!F471&amp;IF(OR(BUNDESLIGA!G471="",BUNDESLIGA!H471=""),"",IF(BUNDESLIGA!G471&gt;BUNDESLIGA!H471,"",IF(BUNDESLIGA!G471&lt;BUNDESLIGA!H471,"","")))</f>
        <v/>
      </c>
    </row>
    <row r="405" spans="5:5" x14ac:dyDescent="0.25">
      <c r="E405" s="67" t="str">
        <f>BUNDESLIGA!F472&amp;IF(OR(BUNDESLIGA!G472="",BUNDESLIGA!H472=""),"",IF(BUNDESLIGA!G472&gt;BUNDESLIGA!H472,"",IF(BUNDESLIGA!G472&lt;BUNDESLIGA!H472,"","")))</f>
        <v/>
      </c>
    </row>
    <row r="406" spans="5:5" x14ac:dyDescent="0.25">
      <c r="E406" s="67" t="str">
        <f>BUNDESLIGA!F473&amp;IF(OR(BUNDESLIGA!G473="",BUNDESLIGA!H473=""),"",IF(BUNDESLIGA!G473&gt;BUNDESLIGA!H473,"",IF(BUNDESLIGA!G473&lt;BUNDESLIGA!H473,"","")))</f>
        <v/>
      </c>
    </row>
    <row r="407" spans="5:5" x14ac:dyDescent="0.25">
      <c r="E407" s="67" t="str">
        <f>BUNDESLIGA!F474&amp;IF(OR(BUNDESLIGA!G474="",BUNDESLIGA!H474=""),"",IF(BUNDESLIGA!G474&gt;BUNDESLIGA!H474,"",IF(BUNDESLIGA!G474&lt;BUNDESLIGA!H474,"","")))</f>
        <v/>
      </c>
    </row>
    <row r="408" spans="5:5" x14ac:dyDescent="0.25">
      <c r="E408" s="67" t="str">
        <f>BUNDESLIGA!F475&amp;IF(OR(BUNDESLIGA!G475="",BUNDESLIGA!H475=""),"",IF(BUNDESLIGA!G475&gt;BUNDESLIGA!H475,"",IF(BUNDESLIGA!G475&lt;BUNDESLIGA!H475,"","")))</f>
        <v/>
      </c>
    </row>
    <row r="409" spans="5:5" x14ac:dyDescent="0.25">
      <c r="E409" s="67" t="str">
        <f>BUNDESLIGA!F476&amp;IF(OR(BUNDESLIGA!G476="",BUNDESLIGA!H476=""),"",IF(BUNDESLIGA!G476&gt;BUNDESLIGA!H476,"",IF(BUNDESLIGA!G476&lt;BUNDESLIGA!H476,"","")))</f>
        <v/>
      </c>
    </row>
    <row r="410" spans="5:5" x14ac:dyDescent="0.25">
      <c r="E410" s="67" t="str">
        <f>BUNDESLIGA!F477&amp;IF(OR(BUNDESLIGA!G477="",BUNDESLIGA!H477=""),"",IF(BUNDESLIGA!G477&gt;BUNDESLIGA!H477,"",IF(BUNDESLIGA!G477&lt;BUNDESLIGA!H477,"","")))</f>
        <v/>
      </c>
    </row>
    <row r="411" spans="5:5" x14ac:dyDescent="0.25">
      <c r="E411" s="67" t="str">
        <f>BUNDESLIGA!F478&amp;IF(OR(BUNDESLIGA!G478="",BUNDESLIGA!H478=""),"",IF(BUNDESLIGA!G478&gt;BUNDESLIGA!H478,"",IF(BUNDESLIGA!G478&lt;BUNDESLIGA!H478,"","")))</f>
        <v/>
      </c>
    </row>
    <row r="412" spans="5:5" x14ac:dyDescent="0.25">
      <c r="E412" s="67" t="str">
        <f>BUNDESLIGA!F479&amp;IF(OR(BUNDESLIGA!G479="",BUNDESLIGA!H479=""),"",IF(BUNDESLIGA!G479&gt;BUNDESLIGA!H479,"",IF(BUNDESLIGA!G479&lt;BUNDESLIGA!H479,"","")))</f>
        <v/>
      </c>
    </row>
    <row r="413" spans="5:5" x14ac:dyDescent="0.25">
      <c r="E413" s="67" t="str">
        <f>BUNDESLIGA!F480&amp;IF(OR(BUNDESLIGA!G480="",BUNDESLIGA!H480=""),"",IF(BUNDESLIGA!G480&gt;BUNDESLIGA!H480,"",IF(BUNDESLIGA!G480&lt;BUNDESLIGA!H480,"","")))</f>
        <v/>
      </c>
    </row>
    <row r="414" spans="5:5" x14ac:dyDescent="0.25">
      <c r="E414" s="67" t="str">
        <f>BUNDESLIGA!F481&amp;IF(OR(BUNDESLIGA!G481="",BUNDESLIGA!H481=""),"",IF(BUNDESLIGA!G481&gt;BUNDESLIGA!H481,"",IF(BUNDESLIGA!G481&lt;BUNDESLIGA!H481,"","")))</f>
        <v/>
      </c>
    </row>
    <row r="415" spans="5:5" x14ac:dyDescent="0.25">
      <c r="E415" s="67" t="str">
        <f>BUNDESLIGA!F482&amp;IF(OR(BUNDESLIGA!G482="",BUNDESLIGA!H482=""),"",IF(BUNDESLIGA!G482&gt;BUNDESLIGA!H482,"",IF(BUNDESLIGA!G482&lt;BUNDESLIGA!H482,"","")))</f>
        <v/>
      </c>
    </row>
    <row r="416" spans="5:5" x14ac:dyDescent="0.25">
      <c r="E416" s="67" t="str">
        <f>BUNDESLIGA!F483&amp;IF(OR(BUNDESLIGA!G483="",BUNDESLIGA!H483=""),"",IF(BUNDESLIGA!G483&gt;BUNDESLIGA!H483,"",IF(BUNDESLIGA!G483&lt;BUNDESLIGA!H483,"","")))</f>
        <v/>
      </c>
    </row>
    <row r="417" spans="5:5" x14ac:dyDescent="0.25">
      <c r="E417" s="67" t="str">
        <f>BUNDESLIGA!F484&amp;IF(OR(BUNDESLIGA!G484="",BUNDESLIGA!H484=""),"",IF(BUNDESLIGA!G484&gt;BUNDESLIGA!H484,"",IF(BUNDESLIGA!G484&lt;BUNDESLIGA!H484,"","")))</f>
        <v/>
      </c>
    </row>
    <row r="418" spans="5:5" x14ac:dyDescent="0.25">
      <c r="E418" s="67" t="str">
        <f>BUNDESLIGA!F485&amp;IF(OR(BUNDESLIGA!G485="",BUNDESLIGA!H485=""),"",IF(BUNDESLIGA!G485&gt;BUNDESLIGA!H485,"",IF(BUNDESLIGA!G485&lt;BUNDESLIGA!H485,"","")))</f>
        <v/>
      </c>
    </row>
    <row r="419" spans="5:5" x14ac:dyDescent="0.25">
      <c r="E419" s="67" t="str">
        <f>BUNDESLIGA!F486&amp;IF(OR(BUNDESLIGA!G486="",BUNDESLIGA!H486=""),"",IF(BUNDESLIGA!G486&gt;BUNDESLIGA!H486,"",IF(BUNDESLIGA!G486&lt;BUNDESLIGA!H486,"","")))</f>
        <v/>
      </c>
    </row>
    <row r="420" spans="5:5" x14ac:dyDescent="0.25">
      <c r="E420" s="67" t="str">
        <f>BUNDESLIGA!F487&amp;IF(OR(BUNDESLIGA!G487="",BUNDESLIGA!H487=""),"",IF(BUNDESLIGA!G487&gt;BUNDESLIGA!H487,"",IF(BUNDESLIGA!G487&lt;BUNDESLIGA!H487,"","")))</f>
        <v/>
      </c>
    </row>
    <row r="421" spans="5:5" x14ac:dyDescent="0.25">
      <c r="E421" s="67" t="str">
        <f>BUNDESLIGA!F488&amp;IF(OR(BUNDESLIGA!G488="",BUNDESLIGA!H488=""),"",IF(BUNDESLIGA!G488&gt;BUNDESLIGA!H488,"",IF(BUNDESLIGA!G488&lt;BUNDESLIGA!H488,"","")))</f>
        <v/>
      </c>
    </row>
    <row r="422" spans="5:5" x14ac:dyDescent="0.25">
      <c r="E422" s="67" t="str">
        <f>BUNDESLIGA!F489&amp;IF(OR(BUNDESLIGA!G489="",BUNDESLIGA!H489=""),"",IF(BUNDESLIGA!G489&gt;BUNDESLIGA!H489,"",IF(BUNDESLIGA!G489&lt;BUNDESLIGA!H489,"","")))</f>
        <v/>
      </c>
    </row>
    <row r="423" spans="5:5" x14ac:dyDescent="0.25">
      <c r="E423" s="67" t="str">
        <f>BUNDESLIGA!F490&amp;IF(OR(BUNDESLIGA!G490="",BUNDESLIGA!H490=""),"",IF(BUNDESLIGA!G490&gt;BUNDESLIGA!H490,"",IF(BUNDESLIGA!G490&lt;BUNDESLIGA!H490,"","")))</f>
        <v/>
      </c>
    </row>
    <row r="424" spans="5:5" x14ac:dyDescent="0.25">
      <c r="E424" s="67" t="str">
        <f>BUNDESLIGA!F491&amp;IF(OR(BUNDESLIGA!G491="",BUNDESLIGA!H491=""),"",IF(BUNDESLIGA!G491&gt;BUNDESLIGA!H491,"",IF(BUNDESLIGA!G491&lt;BUNDESLIGA!H491,"","")))</f>
        <v/>
      </c>
    </row>
    <row r="425" spans="5:5" x14ac:dyDescent="0.25">
      <c r="E425" s="67" t="str">
        <f>BUNDESLIGA!F492&amp;IF(OR(BUNDESLIGA!G492="",BUNDESLIGA!H492=""),"",IF(BUNDESLIGA!G492&gt;BUNDESLIGA!H492,"",IF(BUNDESLIGA!G492&lt;BUNDESLIGA!H492,"","")))</f>
        <v/>
      </c>
    </row>
    <row r="426" spans="5:5" x14ac:dyDescent="0.25">
      <c r="E426" s="67" t="str">
        <f>BUNDESLIGA!F493&amp;IF(OR(BUNDESLIGA!G493="",BUNDESLIGA!H493=""),"",IF(BUNDESLIGA!G493&gt;BUNDESLIGA!H493,"",IF(BUNDESLIGA!G493&lt;BUNDESLIGA!H493,"","")))</f>
        <v/>
      </c>
    </row>
    <row r="427" spans="5:5" x14ac:dyDescent="0.25">
      <c r="E427" s="67" t="str">
        <f>BUNDESLIGA!F494&amp;IF(OR(BUNDESLIGA!G494="",BUNDESLIGA!H494=""),"",IF(BUNDESLIGA!G494&gt;BUNDESLIGA!H494,"",IF(BUNDESLIGA!G494&lt;BUNDESLIGA!H494,"","")))</f>
        <v/>
      </c>
    </row>
    <row r="428" spans="5:5" x14ac:dyDescent="0.25">
      <c r="E428" s="67" t="str">
        <f>BUNDESLIGA!F495&amp;IF(OR(BUNDESLIGA!G495="",BUNDESLIGA!H495=""),"",IF(BUNDESLIGA!G495&gt;BUNDESLIGA!H495,"",IF(BUNDESLIGA!G495&lt;BUNDESLIGA!H495,"","")))</f>
        <v/>
      </c>
    </row>
    <row r="429" spans="5:5" x14ac:dyDescent="0.25">
      <c r="E429" s="67" t="str">
        <f>BUNDESLIGA!F496&amp;IF(OR(BUNDESLIGA!G496="",BUNDESLIGA!H496=""),"",IF(BUNDESLIGA!G496&gt;BUNDESLIGA!H496,"",IF(BUNDESLIGA!G496&lt;BUNDESLIGA!H496,"","")))</f>
        <v/>
      </c>
    </row>
    <row r="430" spans="5:5" x14ac:dyDescent="0.25">
      <c r="E430" s="67" t="str">
        <f>BUNDESLIGA!F497&amp;IF(OR(BUNDESLIGA!G497="",BUNDESLIGA!H497=""),"",IF(BUNDESLIGA!G497&gt;BUNDESLIGA!H497,"",IF(BUNDESLIGA!G497&lt;BUNDESLIGA!H497,"","")))</f>
        <v/>
      </c>
    </row>
    <row r="431" spans="5:5" x14ac:dyDescent="0.25">
      <c r="E431" s="67" t="str">
        <f>BUNDESLIGA!F498&amp;IF(OR(BUNDESLIGA!G498="",BUNDESLIGA!H498=""),"",IF(BUNDESLIGA!G498&gt;BUNDESLIGA!H498,"",IF(BUNDESLIGA!G498&lt;BUNDESLIGA!H498,"","")))</f>
        <v/>
      </c>
    </row>
    <row r="432" spans="5:5" x14ac:dyDescent="0.25">
      <c r="E432" s="67" t="str">
        <f>BUNDESLIGA!F499&amp;IF(OR(BUNDESLIGA!G499="",BUNDESLIGA!H499=""),"",IF(BUNDESLIGA!G499&gt;BUNDESLIGA!H499,"",IF(BUNDESLIGA!G499&lt;BUNDESLIGA!H499,"","")))</f>
        <v/>
      </c>
    </row>
    <row r="433" spans="5:5" x14ac:dyDescent="0.25">
      <c r="E433" s="67" t="str">
        <f>BUNDESLIGA!F500&amp;IF(OR(BUNDESLIGA!G500="",BUNDESLIGA!H500=""),"",IF(BUNDESLIGA!G500&gt;BUNDESLIGA!H500,"",IF(BUNDESLIGA!G500&lt;BUNDESLIGA!H500,"","")))</f>
        <v/>
      </c>
    </row>
    <row r="434" spans="5:5" x14ac:dyDescent="0.25">
      <c r="E434" s="67" t="str">
        <f>BUNDESLIGA!F501&amp;IF(OR(BUNDESLIGA!G501="",BUNDESLIGA!H501=""),"",IF(BUNDESLIGA!G501&gt;BUNDESLIGA!H501,"",IF(BUNDESLIGA!G501&lt;BUNDESLIGA!H501,"","")))</f>
        <v/>
      </c>
    </row>
    <row r="435" spans="5:5" x14ac:dyDescent="0.25">
      <c r="E435" s="67" t="str">
        <f>BUNDESLIGA!F502&amp;IF(OR(BUNDESLIGA!G502="",BUNDESLIGA!H502=""),"",IF(BUNDESLIGA!G502&gt;BUNDESLIGA!H502,"",IF(BUNDESLIGA!G502&lt;BUNDESLIGA!H502,"","")))</f>
        <v/>
      </c>
    </row>
    <row r="436" spans="5:5" x14ac:dyDescent="0.25">
      <c r="E436" s="67" t="str">
        <f>BUNDESLIGA!F503&amp;IF(OR(BUNDESLIGA!G503="",BUNDESLIGA!H503=""),"",IF(BUNDESLIGA!G503&gt;BUNDESLIGA!H503,"",IF(BUNDESLIGA!G503&lt;BUNDESLIGA!H503,"","")))</f>
        <v/>
      </c>
    </row>
    <row r="437" spans="5:5" x14ac:dyDescent="0.25">
      <c r="E437" s="67" t="str">
        <f>BUNDESLIGA!F504&amp;IF(OR(BUNDESLIGA!G504="",BUNDESLIGA!H504=""),"",IF(BUNDESLIGA!G504&gt;BUNDESLIGA!H504,"",IF(BUNDESLIGA!G504&lt;BUNDESLIGA!H504,"","")))</f>
        <v/>
      </c>
    </row>
    <row r="438" spans="5:5" x14ac:dyDescent="0.25">
      <c r="E438" s="67" t="str">
        <f>BUNDESLIGA!F505&amp;IF(OR(BUNDESLIGA!G505="",BUNDESLIGA!H505=""),"",IF(BUNDESLIGA!G505&gt;BUNDESLIGA!H505,"",IF(BUNDESLIGA!G505&lt;BUNDESLIGA!H505,"","")))</f>
        <v/>
      </c>
    </row>
    <row r="439" spans="5:5" x14ac:dyDescent="0.25">
      <c r="E439" s="67" t="str">
        <f>BUNDESLIGA!F506&amp;IF(OR(BUNDESLIGA!G506="",BUNDESLIGA!H506=""),"",IF(BUNDESLIGA!G506&gt;BUNDESLIGA!H506,"",IF(BUNDESLIGA!G506&lt;BUNDESLIGA!H506,"","")))</f>
        <v/>
      </c>
    </row>
    <row r="440" spans="5:5" x14ac:dyDescent="0.25">
      <c r="E440" s="67" t="str">
        <f>BUNDESLIGA!F507&amp;IF(OR(BUNDESLIGA!G507="",BUNDESLIGA!H507=""),"",IF(BUNDESLIGA!G507&gt;BUNDESLIGA!H507,"",IF(BUNDESLIGA!G507&lt;BUNDESLIGA!H507,"","")))</f>
        <v/>
      </c>
    </row>
    <row r="441" spans="5:5" x14ac:dyDescent="0.25">
      <c r="E441" s="67" t="str">
        <f>BUNDESLIGA!F508&amp;IF(OR(BUNDESLIGA!G508="",BUNDESLIGA!H508=""),"",IF(BUNDESLIGA!G508&gt;BUNDESLIGA!H508,"",IF(BUNDESLIGA!G508&lt;BUNDESLIGA!H508,"","")))</f>
        <v/>
      </c>
    </row>
    <row r="442" spans="5:5" x14ac:dyDescent="0.25">
      <c r="E442" s="67" t="str">
        <f>BUNDESLIGA!F509&amp;IF(OR(BUNDESLIGA!G509="",BUNDESLIGA!H509=""),"",IF(BUNDESLIGA!G509&gt;BUNDESLIGA!H509,"",IF(BUNDESLIGA!G509&lt;BUNDESLIGA!H509,"","")))</f>
        <v/>
      </c>
    </row>
    <row r="443" spans="5:5" x14ac:dyDescent="0.25">
      <c r="E443" s="67" t="str">
        <f>BUNDESLIGA!F510&amp;IF(OR(BUNDESLIGA!G510="",BUNDESLIGA!H510=""),"",IF(BUNDESLIGA!G510&gt;BUNDESLIGA!H510,"",IF(BUNDESLIGA!G510&lt;BUNDESLIGA!H510,"","")))</f>
        <v/>
      </c>
    </row>
    <row r="444" spans="5:5" x14ac:dyDescent="0.25">
      <c r="E444" s="67" t="str">
        <f>BUNDESLIGA!F511&amp;IF(OR(BUNDESLIGA!G511="",BUNDESLIGA!H511=""),"",IF(BUNDESLIGA!G511&gt;BUNDESLIGA!H511,"",IF(BUNDESLIGA!G511&lt;BUNDESLIGA!H511,"","")))</f>
        <v/>
      </c>
    </row>
    <row r="445" spans="5:5" x14ac:dyDescent="0.25">
      <c r="E445" s="67" t="str">
        <f>BUNDESLIGA!F512&amp;IF(OR(BUNDESLIGA!G512="",BUNDESLIGA!H512=""),"",IF(BUNDESLIGA!G512&gt;BUNDESLIGA!H512,"",IF(BUNDESLIGA!G512&lt;BUNDESLIGA!H512,"","")))</f>
        <v/>
      </c>
    </row>
    <row r="446" spans="5:5" x14ac:dyDescent="0.25">
      <c r="E446" s="67" t="str">
        <f>BUNDESLIGA!F513&amp;IF(OR(BUNDESLIGA!G513="",BUNDESLIGA!H513=""),"",IF(BUNDESLIGA!G513&gt;BUNDESLIGA!H513,"",IF(BUNDESLIGA!G513&lt;BUNDESLIGA!H513,"","")))</f>
        <v/>
      </c>
    </row>
    <row r="447" spans="5:5" x14ac:dyDescent="0.25">
      <c r="E447" s="67" t="str">
        <f>BUNDESLIGA!F514&amp;IF(OR(BUNDESLIGA!G514="",BUNDESLIGA!H514=""),"",IF(BUNDESLIGA!G514&gt;BUNDESLIGA!H514,"",IF(BUNDESLIGA!G514&lt;BUNDESLIGA!H514,"","")))</f>
        <v/>
      </c>
    </row>
    <row r="448" spans="5:5" x14ac:dyDescent="0.25">
      <c r="E448" s="67" t="str">
        <f>BUNDESLIGA!F515&amp;IF(OR(BUNDESLIGA!G515="",BUNDESLIGA!H515=""),"",IF(BUNDESLIGA!G515&gt;BUNDESLIGA!H515,"",IF(BUNDESLIGA!G515&lt;BUNDESLIGA!H515,"","")))</f>
        <v/>
      </c>
    </row>
    <row r="449" spans="5:5" x14ac:dyDescent="0.25">
      <c r="E449" s="67" t="str">
        <f>BUNDESLIGA!F516&amp;IF(OR(BUNDESLIGA!G516="",BUNDESLIGA!H516=""),"",IF(BUNDESLIGA!G516&gt;BUNDESLIGA!H516,"",IF(BUNDESLIGA!G516&lt;BUNDESLIGA!H516,"","")))</f>
        <v/>
      </c>
    </row>
    <row r="450" spans="5:5" x14ac:dyDescent="0.25">
      <c r="E450" s="67" t="str">
        <f>BUNDESLIGA!F517&amp;IF(OR(BUNDESLIGA!G517="",BUNDESLIGA!H517=""),"",IF(BUNDESLIGA!G517&gt;BUNDESLIGA!H517,"",IF(BUNDESLIGA!G517&lt;BUNDESLIGA!H517,"","")))</f>
        <v/>
      </c>
    </row>
    <row r="451" spans="5:5" x14ac:dyDescent="0.25">
      <c r="E451" s="67" t="str">
        <f>BUNDESLIGA!F518&amp;IF(OR(BUNDESLIGA!G518="",BUNDESLIGA!H518=""),"",IF(BUNDESLIGA!G518&gt;BUNDESLIGA!H518,"",IF(BUNDESLIGA!G518&lt;BUNDESLIGA!H518,"","")))</f>
        <v/>
      </c>
    </row>
    <row r="452" spans="5:5" x14ac:dyDescent="0.25">
      <c r="E452" s="67" t="str">
        <f>BUNDESLIGA!F519&amp;IF(OR(BUNDESLIGA!G519="",BUNDESLIGA!H519=""),"",IF(BUNDESLIGA!G519&gt;BUNDESLIGA!H519,"",IF(BUNDESLIGA!G519&lt;BUNDESLIGA!H519,"","")))</f>
        <v/>
      </c>
    </row>
    <row r="453" spans="5:5" x14ac:dyDescent="0.25">
      <c r="E453" s="67" t="str">
        <f>BUNDESLIGA!F520&amp;IF(OR(BUNDESLIGA!G520="",BUNDESLIGA!H520=""),"",IF(BUNDESLIGA!G520&gt;BUNDESLIGA!H520,"",IF(BUNDESLIGA!G520&lt;BUNDESLIGA!H520,"","")))</f>
        <v/>
      </c>
    </row>
    <row r="454" spans="5:5" x14ac:dyDescent="0.25">
      <c r="E454" s="67" t="str">
        <f>BUNDESLIGA!F521&amp;IF(OR(BUNDESLIGA!G521="",BUNDESLIGA!H521=""),"",IF(BUNDESLIGA!G521&gt;BUNDESLIGA!H521,"",IF(BUNDESLIGA!G521&lt;BUNDESLIGA!H521,"","")))</f>
        <v/>
      </c>
    </row>
    <row r="455" spans="5:5" x14ac:dyDescent="0.25">
      <c r="E455" s="67" t="str">
        <f>BUNDESLIGA!F522&amp;IF(OR(BUNDESLIGA!G522="",BUNDESLIGA!H522=""),"",IF(BUNDESLIGA!G522&gt;BUNDESLIGA!H522,"",IF(BUNDESLIGA!G522&lt;BUNDESLIGA!H522,"","")))</f>
        <v/>
      </c>
    </row>
    <row r="456" spans="5:5" x14ac:dyDescent="0.25">
      <c r="E456" s="67" t="str">
        <f>BUNDESLIGA!F523&amp;IF(OR(BUNDESLIGA!G523="",BUNDESLIGA!H523=""),"",IF(BUNDESLIGA!G523&gt;BUNDESLIGA!H523,"",IF(BUNDESLIGA!G523&lt;BUNDESLIGA!H523,"","")))</f>
        <v/>
      </c>
    </row>
    <row r="457" spans="5:5" x14ac:dyDescent="0.25">
      <c r="E457" s="67" t="str">
        <f>BUNDESLIGA!F524&amp;IF(OR(BUNDESLIGA!G524="",BUNDESLIGA!H524=""),"",IF(BUNDESLIGA!G524&gt;BUNDESLIGA!H524,"",IF(BUNDESLIGA!G524&lt;BUNDESLIGA!H524,"","")))</f>
        <v/>
      </c>
    </row>
    <row r="458" spans="5:5" x14ac:dyDescent="0.25">
      <c r="E458" s="67" t="str">
        <f>BUNDESLIGA!F525&amp;IF(OR(BUNDESLIGA!G525="",BUNDESLIGA!H525=""),"",IF(BUNDESLIGA!G525&gt;BUNDESLIGA!H525,"",IF(BUNDESLIGA!G525&lt;BUNDESLIGA!H525,"","")))</f>
        <v/>
      </c>
    </row>
    <row r="459" spans="5:5" x14ac:dyDescent="0.25">
      <c r="E459" s="67" t="str">
        <f>BUNDESLIGA!F526&amp;IF(OR(BUNDESLIGA!G526="",BUNDESLIGA!H526=""),"",IF(BUNDESLIGA!G526&gt;BUNDESLIGA!H526,"",IF(BUNDESLIGA!G526&lt;BUNDESLIGA!H526,"","")))</f>
        <v/>
      </c>
    </row>
    <row r="460" spans="5:5" x14ac:dyDescent="0.25">
      <c r="E460" s="67" t="str">
        <f>BUNDESLIGA!F527&amp;IF(OR(BUNDESLIGA!G527="",BUNDESLIGA!H527=""),"",IF(BUNDESLIGA!G527&gt;BUNDESLIGA!H527,"",IF(BUNDESLIGA!G527&lt;BUNDESLIGA!H527,"","")))</f>
        <v/>
      </c>
    </row>
    <row r="461" spans="5:5" x14ac:dyDescent="0.25">
      <c r="E461" s="67" t="str">
        <f>BUNDESLIGA!F528&amp;IF(OR(BUNDESLIGA!G528="",BUNDESLIGA!H528=""),"",IF(BUNDESLIGA!G528&gt;BUNDESLIGA!H528,"",IF(BUNDESLIGA!G528&lt;BUNDESLIGA!H528,"","")))</f>
        <v/>
      </c>
    </row>
    <row r="462" spans="5:5" x14ac:dyDescent="0.25">
      <c r="E462" s="67" t="str">
        <f>BUNDESLIGA!F529&amp;IF(OR(BUNDESLIGA!G529="",BUNDESLIGA!H529=""),"",IF(BUNDESLIGA!G529&gt;BUNDESLIGA!H529,"",IF(BUNDESLIGA!G529&lt;BUNDESLIGA!H529,"","")))</f>
        <v/>
      </c>
    </row>
    <row r="463" spans="5:5" x14ac:dyDescent="0.25">
      <c r="E463" s="67" t="str">
        <f>BUNDESLIGA!F530&amp;IF(OR(BUNDESLIGA!G530="",BUNDESLIGA!H530=""),"",IF(BUNDESLIGA!G530&gt;BUNDESLIGA!H530,"",IF(BUNDESLIGA!G530&lt;BUNDESLIGA!H530,"","")))</f>
        <v/>
      </c>
    </row>
    <row r="464" spans="5:5" x14ac:dyDescent="0.25">
      <c r="E464" s="67" t="str">
        <f>BUNDESLIGA!F531&amp;IF(OR(BUNDESLIGA!G531="",BUNDESLIGA!H531=""),"",IF(BUNDESLIGA!G531&gt;BUNDESLIGA!H531,"",IF(BUNDESLIGA!G531&lt;BUNDESLIGA!H531,"","")))</f>
        <v/>
      </c>
    </row>
    <row r="465" spans="5:5" x14ac:dyDescent="0.25">
      <c r="E465" s="67" t="str">
        <f>BUNDESLIGA!F532&amp;IF(OR(BUNDESLIGA!G532="",BUNDESLIGA!H532=""),"",IF(BUNDESLIGA!G532&gt;BUNDESLIGA!H532,"",IF(BUNDESLIGA!G532&lt;BUNDESLIGA!H532,"","")))</f>
        <v/>
      </c>
    </row>
    <row r="466" spans="5:5" x14ac:dyDescent="0.25">
      <c r="E466" s="67" t="str">
        <f>BUNDESLIGA!F533&amp;IF(OR(BUNDESLIGA!G533="",BUNDESLIGA!H533=""),"",IF(BUNDESLIGA!G533&gt;BUNDESLIGA!H533,"",IF(BUNDESLIGA!G533&lt;BUNDESLIGA!H533,"","")))</f>
        <v/>
      </c>
    </row>
    <row r="467" spans="5:5" x14ac:dyDescent="0.25">
      <c r="E467" s="67" t="str">
        <f>BUNDESLIGA!F534&amp;IF(OR(BUNDESLIGA!G534="",BUNDESLIGA!H534=""),"",IF(BUNDESLIGA!G534&gt;BUNDESLIGA!H534,"",IF(BUNDESLIGA!G534&lt;BUNDESLIGA!H534,"","")))</f>
        <v/>
      </c>
    </row>
    <row r="468" spans="5:5" x14ac:dyDescent="0.25">
      <c r="E468" s="67" t="str">
        <f>BUNDESLIGA!F535&amp;IF(OR(BUNDESLIGA!G535="",BUNDESLIGA!H535=""),"",IF(BUNDESLIGA!G535&gt;BUNDESLIGA!H535,"",IF(BUNDESLIGA!G535&lt;BUNDESLIGA!H535,"","")))</f>
        <v/>
      </c>
    </row>
    <row r="469" spans="5:5" x14ac:dyDescent="0.25">
      <c r="E469" s="67" t="str">
        <f>BUNDESLIGA!F536&amp;IF(OR(BUNDESLIGA!G536="",BUNDESLIGA!H536=""),"",IF(BUNDESLIGA!G536&gt;BUNDESLIGA!H536,"",IF(BUNDESLIGA!G536&lt;BUNDESLIGA!H536,"","")))</f>
        <v/>
      </c>
    </row>
    <row r="470" spans="5:5" x14ac:dyDescent="0.25">
      <c r="E470" s="67" t="str">
        <f>BUNDESLIGA!F537&amp;IF(OR(BUNDESLIGA!G537="",BUNDESLIGA!H537=""),"",IF(BUNDESLIGA!G537&gt;BUNDESLIGA!H537,"",IF(BUNDESLIGA!G537&lt;BUNDESLIGA!H537,"","")))</f>
        <v/>
      </c>
    </row>
    <row r="471" spans="5:5" x14ac:dyDescent="0.25">
      <c r="E471" s="67" t="str">
        <f>BUNDESLIGA!F538&amp;IF(OR(BUNDESLIGA!G538="",BUNDESLIGA!H538=""),"",IF(BUNDESLIGA!G538&gt;BUNDESLIGA!H538,"",IF(BUNDESLIGA!G538&lt;BUNDESLIGA!H538,"","")))</f>
        <v/>
      </c>
    </row>
    <row r="472" spans="5:5" x14ac:dyDescent="0.25">
      <c r="E472" s="67" t="str">
        <f>BUNDESLIGA!F539&amp;IF(OR(BUNDESLIGA!G539="",BUNDESLIGA!H539=""),"",IF(BUNDESLIGA!G539&gt;BUNDESLIGA!H539,"",IF(BUNDESLIGA!G539&lt;BUNDESLIGA!H539,"","")))</f>
        <v/>
      </c>
    </row>
    <row r="473" spans="5:5" x14ac:dyDescent="0.25">
      <c r="E473" s="67" t="str">
        <f>BUNDESLIGA!F540&amp;IF(OR(BUNDESLIGA!G540="",BUNDESLIGA!H540=""),"",IF(BUNDESLIGA!G540&gt;BUNDESLIGA!H540,"",IF(BUNDESLIGA!G540&lt;BUNDESLIGA!H540,"","")))</f>
        <v/>
      </c>
    </row>
    <row r="474" spans="5:5" x14ac:dyDescent="0.25">
      <c r="E474" s="67" t="str">
        <f>BUNDESLIGA!F541&amp;IF(OR(BUNDESLIGA!G541="",BUNDESLIGA!H541=""),"",IF(BUNDESLIGA!G541&gt;BUNDESLIGA!H541,"",IF(BUNDESLIGA!G541&lt;BUNDESLIGA!H541,"","")))</f>
        <v/>
      </c>
    </row>
    <row r="475" spans="5:5" x14ac:dyDescent="0.25">
      <c r="E475" s="67" t="str">
        <f>BUNDESLIGA!F542&amp;IF(OR(BUNDESLIGA!G542="",BUNDESLIGA!H542=""),"",IF(BUNDESLIGA!G542&gt;BUNDESLIGA!H542,"",IF(BUNDESLIGA!G542&lt;BUNDESLIGA!H542,"","")))</f>
        <v/>
      </c>
    </row>
    <row r="476" spans="5:5" x14ac:dyDescent="0.25">
      <c r="E476" s="67" t="str">
        <f>BUNDESLIGA!F543&amp;IF(OR(BUNDESLIGA!G543="",BUNDESLIGA!H543=""),"",IF(BUNDESLIGA!G543&gt;BUNDESLIGA!H543,"",IF(BUNDESLIGA!G543&lt;BUNDESLIGA!H543,"","")))</f>
        <v/>
      </c>
    </row>
    <row r="477" spans="5:5" x14ac:dyDescent="0.25">
      <c r="E477" s="67" t="str">
        <f>BUNDESLIGA!F544&amp;IF(OR(BUNDESLIGA!G544="",BUNDESLIGA!H544=""),"",IF(BUNDESLIGA!G544&gt;BUNDESLIGA!H544,"",IF(BUNDESLIGA!G544&lt;BUNDESLIGA!H544,"","")))</f>
        <v/>
      </c>
    </row>
    <row r="478" spans="5:5" x14ac:dyDescent="0.25">
      <c r="E478" s="67" t="str">
        <f>BUNDESLIGA!F545&amp;IF(OR(BUNDESLIGA!G545="",BUNDESLIGA!H545=""),"",IF(BUNDESLIGA!G545&gt;BUNDESLIGA!H545,"",IF(BUNDESLIGA!G545&lt;BUNDESLIGA!H545,"","")))</f>
        <v/>
      </c>
    </row>
    <row r="479" spans="5:5" x14ac:dyDescent="0.25">
      <c r="E479" s="67" t="str">
        <f>BUNDESLIGA!F546&amp;IF(OR(BUNDESLIGA!G546="",BUNDESLIGA!H546=""),"",IF(BUNDESLIGA!G546&gt;BUNDESLIGA!H546,"",IF(BUNDESLIGA!G546&lt;BUNDESLIGA!H546,"","")))</f>
        <v/>
      </c>
    </row>
    <row r="480" spans="5:5" x14ac:dyDescent="0.25">
      <c r="E480" s="67" t="str">
        <f>BUNDESLIGA!F547&amp;IF(OR(BUNDESLIGA!G547="",BUNDESLIGA!H547=""),"",IF(BUNDESLIGA!G547&gt;BUNDESLIGA!H547,"",IF(BUNDESLIGA!G547&lt;BUNDESLIGA!H547,"","")))</f>
        <v/>
      </c>
    </row>
    <row r="481" spans="5:5" x14ac:dyDescent="0.25">
      <c r="E481" s="67" t="str">
        <f>BUNDESLIGA!F548&amp;IF(OR(BUNDESLIGA!G548="",BUNDESLIGA!H548=""),"",IF(BUNDESLIGA!G548&gt;BUNDESLIGA!H548,"",IF(BUNDESLIGA!G548&lt;BUNDESLIGA!H548,"","")))</f>
        <v/>
      </c>
    </row>
    <row r="482" spans="5:5" x14ac:dyDescent="0.25">
      <c r="E482" s="67" t="str">
        <f>BUNDESLIGA!F549&amp;IF(OR(BUNDESLIGA!G549="",BUNDESLIGA!H549=""),"",IF(BUNDESLIGA!G549&gt;BUNDESLIGA!H549,"",IF(BUNDESLIGA!G549&lt;BUNDESLIGA!H549,"","")))</f>
        <v/>
      </c>
    </row>
    <row r="483" spans="5:5" x14ac:dyDescent="0.25">
      <c r="E483" s="67" t="str">
        <f>BUNDESLIGA!F550&amp;IF(OR(BUNDESLIGA!G550="",BUNDESLIGA!H550=""),"",IF(BUNDESLIGA!G550&gt;BUNDESLIGA!H550,"",IF(BUNDESLIGA!G550&lt;BUNDESLIGA!H550,"","")))</f>
        <v/>
      </c>
    </row>
    <row r="484" spans="5:5" x14ac:dyDescent="0.25">
      <c r="E484" s="67" t="str">
        <f>BUNDESLIGA!F551&amp;IF(OR(BUNDESLIGA!G551="",BUNDESLIGA!H551=""),"",IF(BUNDESLIGA!G551&gt;BUNDESLIGA!H551,"",IF(BUNDESLIGA!G551&lt;BUNDESLIGA!H551,"","")))</f>
        <v/>
      </c>
    </row>
    <row r="485" spans="5:5" x14ac:dyDescent="0.25">
      <c r="E485" s="67" t="str">
        <f>BUNDESLIGA!F552&amp;IF(OR(BUNDESLIGA!G552="",BUNDESLIGA!H552=""),"",IF(BUNDESLIGA!G552&gt;BUNDESLIGA!H552,"",IF(BUNDESLIGA!G552&lt;BUNDESLIGA!H552,"","")))</f>
        <v/>
      </c>
    </row>
    <row r="486" spans="5:5" x14ac:dyDescent="0.25">
      <c r="E486" s="67" t="str">
        <f>BUNDESLIGA!F553&amp;IF(OR(BUNDESLIGA!G553="",BUNDESLIGA!H553=""),"",IF(BUNDESLIGA!G553&gt;BUNDESLIGA!H553,"",IF(BUNDESLIGA!G553&lt;BUNDESLIGA!H553,"","")))</f>
        <v/>
      </c>
    </row>
    <row r="487" spans="5:5" x14ac:dyDescent="0.25">
      <c r="E487" s="67" t="str">
        <f>BUNDESLIGA!F554&amp;IF(OR(BUNDESLIGA!G554="",BUNDESLIGA!H554=""),"",IF(BUNDESLIGA!G554&gt;BUNDESLIGA!H554,"",IF(BUNDESLIGA!G554&lt;BUNDESLIGA!H554,"","")))</f>
        <v/>
      </c>
    </row>
    <row r="488" spans="5:5" x14ac:dyDescent="0.25">
      <c r="E488" s="67" t="str">
        <f>BUNDESLIGA!F555&amp;IF(OR(BUNDESLIGA!G555="",BUNDESLIGA!H555=""),"",IF(BUNDESLIGA!G555&gt;BUNDESLIGA!H555,"",IF(BUNDESLIGA!G555&lt;BUNDESLIGA!H555,"","")))</f>
        <v/>
      </c>
    </row>
    <row r="489" spans="5:5" x14ac:dyDescent="0.25">
      <c r="E489" s="67" t="str">
        <f>BUNDESLIGA!F556&amp;IF(OR(BUNDESLIGA!G556="",BUNDESLIGA!H556=""),"",IF(BUNDESLIGA!G556&gt;BUNDESLIGA!H556,"",IF(BUNDESLIGA!G556&lt;BUNDESLIGA!H556,"","")))</f>
        <v/>
      </c>
    </row>
    <row r="490" spans="5:5" x14ac:dyDescent="0.25">
      <c r="E490" s="67" t="str">
        <f>BUNDESLIGA!F557&amp;IF(OR(BUNDESLIGA!G557="",BUNDESLIGA!H557=""),"",IF(BUNDESLIGA!G557&gt;BUNDESLIGA!H557,"",IF(BUNDESLIGA!G557&lt;BUNDESLIGA!H557,"","")))</f>
        <v/>
      </c>
    </row>
    <row r="491" spans="5:5" x14ac:dyDescent="0.25">
      <c r="E491" s="67" t="str">
        <f>BUNDESLIGA!F558&amp;IF(OR(BUNDESLIGA!G558="",BUNDESLIGA!H558=""),"",IF(BUNDESLIGA!G558&gt;BUNDESLIGA!H558,"",IF(BUNDESLIGA!G558&lt;BUNDESLIGA!H558,"","")))</f>
        <v/>
      </c>
    </row>
    <row r="492" spans="5:5" x14ac:dyDescent="0.25">
      <c r="E492" s="67" t="str">
        <f>BUNDESLIGA!F559&amp;IF(OR(BUNDESLIGA!G559="",BUNDESLIGA!H559=""),"",IF(BUNDESLIGA!G559&gt;BUNDESLIGA!H559,"",IF(BUNDESLIGA!G559&lt;BUNDESLIGA!H559,"","")))</f>
        <v/>
      </c>
    </row>
    <row r="493" spans="5:5" x14ac:dyDescent="0.25">
      <c r="E493" s="67" t="str">
        <f>BUNDESLIGA!F560&amp;IF(OR(BUNDESLIGA!G560="",BUNDESLIGA!H560=""),"",IF(BUNDESLIGA!G560&gt;BUNDESLIGA!H560,"",IF(BUNDESLIGA!G560&lt;BUNDESLIGA!H560,"","")))</f>
        <v/>
      </c>
    </row>
    <row r="494" spans="5:5" x14ac:dyDescent="0.25">
      <c r="E494" s="67" t="str">
        <f>BUNDESLIGA!F561&amp;IF(OR(BUNDESLIGA!G561="",BUNDESLIGA!H561=""),"",IF(BUNDESLIGA!G561&gt;BUNDESLIGA!H561,"",IF(BUNDESLIGA!G561&lt;BUNDESLIGA!H561,"","")))</f>
        <v/>
      </c>
    </row>
    <row r="495" spans="5:5" x14ac:dyDescent="0.25">
      <c r="E495" s="67" t="str">
        <f>BUNDESLIGA!F562&amp;IF(OR(BUNDESLIGA!G562="",BUNDESLIGA!H562=""),"",IF(BUNDESLIGA!G562&gt;BUNDESLIGA!H562,"",IF(BUNDESLIGA!G562&lt;BUNDESLIGA!H562,"","")))</f>
        <v/>
      </c>
    </row>
    <row r="496" spans="5:5" x14ac:dyDescent="0.25">
      <c r="E496" s="67" t="str">
        <f>BUNDESLIGA!F563&amp;IF(OR(BUNDESLIGA!G563="",BUNDESLIGA!H563=""),"",IF(BUNDESLIGA!G563&gt;BUNDESLIGA!H563,"",IF(BUNDESLIGA!G563&lt;BUNDESLIGA!H563,"","")))</f>
        <v/>
      </c>
    </row>
    <row r="497" spans="5:5" x14ac:dyDescent="0.25">
      <c r="E497" s="67" t="str">
        <f>BUNDESLIGA!F564&amp;IF(OR(BUNDESLIGA!G564="",BUNDESLIGA!H564=""),"",IF(BUNDESLIGA!G564&gt;BUNDESLIGA!H564,"",IF(BUNDESLIGA!G564&lt;BUNDESLIGA!H564,"","")))</f>
        <v/>
      </c>
    </row>
    <row r="498" spans="5:5" x14ac:dyDescent="0.25">
      <c r="E498" s="67" t="str">
        <f>BUNDESLIGA!F565&amp;IF(OR(BUNDESLIGA!G565="",BUNDESLIGA!H565=""),"",IF(BUNDESLIGA!G565&gt;BUNDESLIGA!H565,"",IF(BUNDESLIGA!G565&lt;BUNDESLIGA!H565,"","")))</f>
        <v/>
      </c>
    </row>
    <row r="499" spans="5:5" x14ac:dyDescent="0.25">
      <c r="E499" s="67" t="str">
        <f>BUNDESLIGA!F566&amp;IF(OR(BUNDESLIGA!G566="",BUNDESLIGA!H566=""),"",IF(BUNDESLIGA!G566&gt;BUNDESLIGA!H566,"",IF(BUNDESLIGA!G566&lt;BUNDESLIGA!H566,"","")))</f>
        <v/>
      </c>
    </row>
    <row r="500" spans="5:5" x14ac:dyDescent="0.25">
      <c r="E500" s="67" t="str">
        <f>BUNDESLIGA!F567&amp;IF(OR(BUNDESLIGA!G567="",BUNDESLIGA!H567=""),"",IF(BUNDESLIGA!G567&gt;BUNDESLIGA!H567,"",IF(BUNDESLIGA!G567&lt;BUNDESLIGA!H567,"","")))</f>
        <v/>
      </c>
    </row>
    <row r="501" spans="5:5" x14ac:dyDescent="0.25">
      <c r="E501" s="67" t="str">
        <f>BUNDESLIGA!F568&amp;IF(OR(BUNDESLIGA!G568="",BUNDESLIGA!H568=""),"",IF(BUNDESLIGA!G568&gt;BUNDESLIGA!H568,"",IF(BUNDESLIGA!G568&lt;BUNDESLIGA!H568,"","")))</f>
        <v/>
      </c>
    </row>
    <row r="502" spans="5:5" x14ac:dyDescent="0.25">
      <c r="E502" s="67" t="str">
        <f>BUNDESLIGA!F569&amp;IF(OR(BUNDESLIGA!G569="",BUNDESLIGA!H569=""),"",IF(BUNDESLIGA!G569&gt;BUNDESLIGA!H569,"",IF(BUNDESLIGA!G569&lt;BUNDESLIGA!H569,"","")))</f>
        <v/>
      </c>
    </row>
    <row r="503" spans="5:5" x14ac:dyDescent="0.25">
      <c r="E503" s="67" t="str">
        <f>BUNDESLIGA!F570&amp;IF(OR(BUNDESLIGA!G570="",BUNDESLIGA!H570=""),"",IF(BUNDESLIGA!G570&gt;BUNDESLIGA!H570,"",IF(BUNDESLIGA!G570&lt;BUNDESLIGA!H570,"","")))</f>
        <v/>
      </c>
    </row>
    <row r="504" spans="5:5" x14ac:dyDescent="0.25">
      <c r="E504" s="67" t="str">
        <f>BUNDESLIGA!F571&amp;IF(OR(BUNDESLIGA!G571="",BUNDESLIGA!H571=""),"",IF(BUNDESLIGA!G571&gt;BUNDESLIGA!H571,"",IF(BUNDESLIGA!G571&lt;BUNDESLIGA!H571,"","")))</f>
        <v/>
      </c>
    </row>
    <row r="505" spans="5:5" x14ac:dyDescent="0.25">
      <c r="E505" s="67" t="str">
        <f>BUNDESLIGA!F572&amp;IF(OR(BUNDESLIGA!G572="",BUNDESLIGA!H572=""),"",IF(BUNDESLIGA!G572&gt;BUNDESLIGA!H572,"",IF(BUNDESLIGA!G572&lt;BUNDESLIGA!H572,"","")))</f>
        <v/>
      </c>
    </row>
    <row r="506" spans="5:5" x14ac:dyDescent="0.25">
      <c r="E506" s="67" t="str">
        <f>BUNDESLIGA!F573&amp;IF(OR(BUNDESLIGA!G573="",BUNDESLIGA!H573=""),"",IF(BUNDESLIGA!G573&gt;BUNDESLIGA!H573,"",IF(BUNDESLIGA!G573&lt;BUNDESLIGA!H573,"","")))</f>
        <v/>
      </c>
    </row>
    <row r="507" spans="5:5" x14ac:dyDescent="0.25">
      <c r="E507" s="67" t="str">
        <f>BUNDESLIGA!F574&amp;IF(OR(BUNDESLIGA!G574="",BUNDESLIGA!H574=""),"",IF(BUNDESLIGA!G574&gt;BUNDESLIGA!H574,"",IF(BUNDESLIGA!G574&lt;BUNDESLIGA!H574,"","")))</f>
        <v/>
      </c>
    </row>
    <row r="508" spans="5:5" x14ac:dyDescent="0.25">
      <c r="E508" s="67" t="str">
        <f>BUNDESLIGA!F575&amp;IF(OR(BUNDESLIGA!G575="",BUNDESLIGA!H575=""),"",IF(BUNDESLIGA!G575&gt;BUNDESLIGA!H575,"",IF(BUNDESLIGA!G575&lt;BUNDESLIGA!H575,"","")))</f>
        <v/>
      </c>
    </row>
    <row r="509" spans="5:5" x14ac:dyDescent="0.25">
      <c r="E509" s="67" t="str">
        <f>BUNDESLIGA!F576&amp;IF(OR(BUNDESLIGA!G576="",BUNDESLIGA!H576=""),"",IF(BUNDESLIGA!G576&gt;BUNDESLIGA!H576,"",IF(BUNDESLIGA!G576&lt;BUNDESLIGA!H576,"","")))</f>
        <v/>
      </c>
    </row>
    <row r="510" spans="5:5" x14ac:dyDescent="0.25">
      <c r="E510" s="67" t="str">
        <f>BUNDESLIGA!F577&amp;IF(OR(BUNDESLIGA!G577="",BUNDESLIGA!H577=""),"",IF(BUNDESLIGA!G577&gt;BUNDESLIGA!H577,"",IF(BUNDESLIGA!G577&lt;BUNDESLIGA!H577,"","")))</f>
        <v/>
      </c>
    </row>
    <row r="511" spans="5:5" x14ac:dyDescent="0.25">
      <c r="E511" s="67" t="str">
        <f>BUNDESLIGA!F578&amp;IF(OR(BUNDESLIGA!G578="",BUNDESLIGA!H578=""),"",IF(BUNDESLIGA!G578&gt;BUNDESLIGA!H578,"",IF(BUNDESLIGA!G578&lt;BUNDESLIGA!H578,"","")))</f>
        <v/>
      </c>
    </row>
    <row r="512" spans="5:5" x14ac:dyDescent="0.25">
      <c r="E512" s="67" t="str">
        <f>BUNDESLIGA!F579&amp;IF(OR(BUNDESLIGA!G579="",BUNDESLIGA!H579=""),"",IF(BUNDESLIGA!G579&gt;BUNDESLIGA!H579,"",IF(BUNDESLIGA!G579&lt;BUNDESLIGA!H579,"","")))</f>
        <v/>
      </c>
    </row>
    <row r="513" spans="5:5" x14ac:dyDescent="0.25">
      <c r="E513" s="67" t="str">
        <f>BUNDESLIGA!F580&amp;IF(OR(BUNDESLIGA!G580="",BUNDESLIGA!H580=""),"",IF(BUNDESLIGA!G580&gt;BUNDESLIGA!H580,"",IF(BUNDESLIGA!G580&lt;BUNDESLIGA!H580,"","")))</f>
        <v/>
      </c>
    </row>
    <row r="514" spans="5:5" x14ac:dyDescent="0.25">
      <c r="E514" s="67" t="str">
        <f>BUNDESLIGA!F581&amp;IF(OR(BUNDESLIGA!G581="",BUNDESLIGA!H581=""),"",IF(BUNDESLIGA!G581&gt;BUNDESLIGA!H581,"",IF(BUNDESLIGA!G581&lt;BUNDESLIGA!H581,"","")))</f>
        <v/>
      </c>
    </row>
    <row r="515" spans="5:5" x14ac:dyDescent="0.25">
      <c r="E515" s="67" t="str">
        <f>BUNDESLIGA!F582&amp;IF(OR(BUNDESLIGA!G582="",BUNDESLIGA!H582=""),"",IF(BUNDESLIGA!G582&gt;BUNDESLIGA!H582,"",IF(BUNDESLIGA!G582&lt;BUNDESLIGA!H582,"","")))</f>
        <v/>
      </c>
    </row>
    <row r="516" spans="5:5" x14ac:dyDescent="0.25">
      <c r="E516" s="67" t="str">
        <f>BUNDESLIGA!F583&amp;IF(OR(BUNDESLIGA!G583="",BUNDESLIGA!H583=""),"",IF(BUNDESLIGA!G583&gt;BUNDESLIGA!H583,"",IF(BUNDESLIGA!G583&lt;BUNDESLIGA!H583,"","")))</f>
        <v/>
      </c>
    </row>
    <row r="517" spans="5:5" x14ac:dyDescent="0.25">
      <c r="E517" s="67" t="str">
        <f>BUNDESLIGA!F584&amp;IF(OR(BUNDESLIGA!G584="",BUNDESLIGA!H584=""),"",IF(BUNDESLIGA!G584&gt;BUNDESLIGA!H584,"",IF(BUNDESLIGA!G584&lt;BUNDESLIGA!H584,"","")))</f>
        <v/>
      </c>
    </row>
    <row r="518" spans="5:5" x14ac:dyDescent="0.25">
      <c r="E518" s="67" t="str">
        <f>BUNDESLIGA!F585&amp;IF(OR(BUNDESLIGA!G585="",BUNDESLIGA!H585=""),"",IF(BUNDESLIGA!G585&gt;BUNDESLIGA!H585,"",IF(BUNDESLIGA!G585&lt;BUNDESLIGA!H585,"","")))</f>
        <v/>
      </c>
    </row>
    <row r="519" spans="5:5" x14ac:dyDescent="0.25">
      <c r="E519" s="67" t="str">
        <f>BUNDESLIGA!F586&amp;IF(OR(BUNDESLIGA!G586="",BUNDESLIGA!H586=""),"",IF(BUNDESLIGA!G586&gt;BUNDESLIGA!H586,"",IF(BUNDESLIGA!G586&lt;BUNDESLIGA!H586,"","")))</f>
        <v/>
      </c>
    </row>
    <row r="520" spans="5:5" x14ac:dyDescent="0.25">
      <c r="E520" s="67" t="str">
        <f>BUNDESLIGA!F587&amp;IF(OR(BUNDESLIGA!G587="",BUNDESLIGA!H587=""),"",IF(BUNDESLIGA!G587&gt;BUNDESLIGA!H587,"",IF(BUNDESLIGA!G587&lt;BUNDESLIGA!H587,"","")))</f>
        <v/>
      </c>
    </row>
    <row r="521" spans="5:5" x14ac:dyDescent="0.25">
      <c r="E521" s="67" t="str">
        <f>BUNDESLIGA!F588&amp;IF(OR(BUNDESLIGA!G588="",BUNDESLIGA!H588=""),"",IF(BUNDESLIGA!G588&gt;BUNDESLIGA!H588,"",IF(BUNDESLIGA!G588&lt;BUNDESLIGA!H588,"","")))</f>
        <v/>
      </c>
    </row>
    <row r="522" spans="5:5" x14ac:dyDescent="0.25">
      <c r="E522" s="67" t="str">
        <f>BUNDESLIGA!F589&amp;IF(OR(BUNDESLIGA!G589="",BUNDESLIGA!H589=""),"",IF(BUNDESLIGA!G589&gt;BUNDESLIGA!H589,"",IF(BUNDESLIGA!G589&lt;BUNDESLIGA!H589,"","")))</f>
        <v/>
      </c>
    </row>
    <row r="523" spans="5:5" x14ac:dyDescent="0.25">
      <c r="E523" s="67" t="str">
        <f>BUNDESLIGA!F590&amp;IF(OR(BUNDESLIGA!G590="",BUNDESLIGA!H590=""),"",IF(BUNDESLIGA!G590&gt;BUNDESLIGA!H590,"",IF(BUNDESLIGA!G590&lt;BUNDESLIGA!H590,"","")))</f>
        <v/>
      </c>
    </row>
    <row r="524" spans="5:5" x14ac:dyDescent="0.25">
      <c r="E524" s="67" t="str">
        <f>BUNDESLIGA!F591&amp;IF(OR(BUNDESLIGA!G591="",BUNDESLIGA!H591=""),"",IF(BUNDESLIGA!G591&gt;BUNDESLIGA!H591,"",IF(BUNDESLIGA!G591&lt;BUNDESLIGA!H591,"","")))</f>
        <v/>
      </c>
    </row>
    <row r="525" spans="5:5" x14ac:dyDescent="0.25">
      <c r="E525" s="67" t="str">
        <f>BUNDESLIGA!F592&amp;IF(OR(BUNDESLIGA!G592="",BUNDESLIGA!H592=""),"",IF(BUNDESLIGA!G592&gt;BUNDESLIGA!H592,"",IF(BUNDESLIGA!G592&lt;BUNDESLIGA!H592,"","")))</f>
        <v/>
      </c>
    </row>
    <row r="526" spans="5:5" x14ac:dyDescent="0.25">
      <c r="E526" s="67" t="str">
        <f>BUNDESLIGA!F593&amp;IF(OR(BUNDESLIGA!G593="",BUNDESLIGA!H593=""),"",IF(BUNDESLIGA!G593&gt;BUNDESLIGA!H593,"",IF(BUNDESLIGA!G593&lt;BUNDESLIGA!H593,"","")))</f>
        <v/>
      </c>
    </row>
    <row r="527" spans="5:5" x14ac:dyDescent="0.25">
      <c r="E527" s="67" t="str">
        <f>BUNDESLIGA!F594&amp;IF(OR(BUNDESLIGA!G594="",BUNDESLIGA!H594=""),"",IF(BUNDESLIGA!G594&gt;BUNDESLIGA!H594,"",IF(BUNDESLIGA!G594&lt;BUNDESLIGA!H594,"","")))</f>
        <v/>
      </c>
    </row>
    <row r="528" spans="5:5" x14ac:dyDescent="0.25">
      <c r="E528" s="67" t="str">
        <f>BUNDESLIGA!F595&amp;IF(OR(BUNDESLIGA!G595="",BUNDESLIGA!H595=""),"",IF(BUNDESLIGA!G595&gt;BUNDESLIGA!H595,"",IF(BUNDESLIGA!G595&lt;BUNDESLIGA!H595,"","")))</f>
        <v/>
      </c>
    </row>
    <row r="529" spans="5:5" x14ac:dyDescent="0.25">
      <c r="E529" s="67" t="str">
        <f>BUNDESLIGA!F596&amp;IF(OR(BUNDESLIGA!G596="",BUNDESLIGA!H596=""),"",IF(BUNDESLIGA!G596&gt;BUNDESLIGA!H596,"",IF(BUNDESLIGA!G596&lt;BUNDESLIGA!H596,"","")))</f>
        <v/>
      </c>
    </row>
    <row r="530" spans="5:5" x14ac:dyDescent="0.25">
      <c r="E530" s="67" t="str">
        <f>BUNDESLIGA!F597&amp;IF(OR(BUNDESLIGA!G597="",BUNDESLIGA!H597=""),"",IF(BUNDESLIGA!G597&gt;BUNDESLIGA!H597,"",IF(BUNDESLIGA!G597&lt;BUNDESLIGA!H597,"","")))</f>
        <v/>
      </c>
    </row>
    <row r="531" spans="5:5" x14ac:dyDescent="0.25">
      <c r="E531" s="67" t="str">
        <f>BUNDESLIGA!F598&amp;IF(OR(BUNDESLIGA!G598="",BUNDESLIGA!H598=""),"",IF(BUNDESLIGA!G598&gt;BUNDESLIGA!H598,"",IF(BUNDESLIGA!G598&lt;BUNDESLIGA!H598,"","")))</f>
        <v/>
      </c>
    </row>
    <row r="532" spans="5:5" x14ac:dyDescent="0.25">
      <c r="E532" s="67" t="str">
        <f>BUNDESLIGA!F599&amp;IF(OR(BUNDESLIGA!G599="",BUNDESLIGA!H599=""),"",IF(BUNDESLIGA!G599&gt;BUNDESLIGA!H599,"",IF(BUNDESLIGA!G599&lt;BUNDESLIGA!H599,"","")))</f>
        <v/>
      </c>
    </row>
    <row r="533" spans="5:5" x14ac:dyDescent="0.25">
      <c r="E533" s="67" t="str">
        <f>BUNDESLIGA!F600&amp;IF(OR(BUNDESLIGA!G600="",BUNDESLIGA!H600=""),"",IF(BUNDESLIGA!G600&gt;BUNDESLIGA!H600,"",IF(BUNDESLIGA!G600&lt;BUNDESLIGA!H600,"","")))</f>
        <v/>
      </c>
    </row>
    <row r="534" spans="5:5" x14ac:dyDescent="0.25">
      <c r="E534" s="67" t="str">
        <f>BUNDESLIGA!F601&amp;IF(OR(BUNDESLIGA!G601="",BUNDESLIGA!H601=""),"",IF(BUNDESLIGA!G601&gt;BUNDESLIGA!H601,"",IF(BUNDESLIGA!G601&lt;BUNDESLIGA!H601,"","")))</f>
        <v/>
      </c>
    </row>
    <row r="535" spans="5:5" x14ac:dyDescent="0.25">
      <c r="E535" s="67" t="str">
        <f>BUNDESLIGA!F602&amp;IF(OR(BUNDESLIGA!G602="",BUNDESLIGA!H602=""),"",IF(BUNDESLIGA!G602&gt;BUNDESLIGA!H602,"",IF(BUNDESLIGA!G602&lt;BUNDESLIGA!H602,"","")))</f>
        <v/>
      </c>
    </row>
    <row r="536" spans="5:5" x14ac:dyDescent="0.25">
      <c r="E536" s="67" t="str">
        <f>BUNDESLIGA!F603&amp;IF(OR(BUNDESLIGA!G603="",BUNDESLIGA!H603=""),"",IF(BUNDESLIGA!G603&gt;BUNDESLIGA!H603,"",IF(BUNDESLIGA!G603&lt;BUNDESLIGA!H603,"","")))</f>
        <v/>
      </c>
    </row>
    <row r="537" spans="5:5" x14ac:dyDescent="0.25">
      <c r="E537" s="67" t="str">
        <f>BUNDESLIGA!F604&amp;IF(OR(BUNDESLIGA!G604="",BUNDESLIGA!H604=""),"",IF(BUNDESLIGA!G604&gt;BUNDESLIGA!H604,"",IF(BUNDESLIGA!G604&lt;BUNDESLIGA!H604,"","")))</f>
        <v/>
      </c>
    </row>
    <row r="538" spans="5:5" x14ac:dyDescent="0.25">
      <c r="E538" s="67" t="str">
        <f>BUNDESLIGA!F605&amp;IF(OR(BUNDESLIGA!G605="",BUNDESLIGA!H605=""),"",IF(BUNDESLIGA!G605&gt;BUNDESLIGA!H605,"",IF(BUNDESLIGA!G605&lt;BUNDESLIGA!H605,"","")))</f>
        <v/>
      </c>
    </row>
    <row r="539" spans="5:5" x14ac:dyDescent="0.25">
      <c r="E539" s="67" t="str">
        <f>BUNDESLIGA!F606&amp;IF(OR(BUNDESLIGA!G606="",BUNDESLIGA!H606=""),"",IF(BUNDESLIGA!G606&gt;BUNDESLIGA!H606,"",IF(BUNDESLIGA!G606&lt;BUNDESLIGA!H606,"","")))</f>
        <v/>
      </c>
    </row>
    <row r="540" spans="5:5" x14ac:dyDescent="0.25">
      <c r="E540" s="67" t="str">
        <f>BUNDESLIGA!F607&amp;IF(OR(BUNDESLIGA!G607="",BUNDESLIGA!H607=""),"",IF(BUNDESLIGA!G607&gt;BUNDESLIGA!H607,"",IF(BUNDESLIGA!G607&lt;BUNDESLIGA!H607,"","")))</f>
        <v/>
      </c>
    </row>
    <row r="541" spans="5:5" x14ac:dyDescent="0.25">
      <c r="E541" s="67" t="str">
        <f>BUNDESLIGA!F608&amp;IF(OR(BUNDESLIGA!G608="",BUNDESLIGA!H608=""),"",IF(BUNDESLIGA!G608&gt;BUNDESLIGA!H608,"",IF(BUNDESLIGA!G608&lt;BUNDESLIGA!H608,"","")))</f>
        <v/>
      </c>
    </row>
    <row r="542" spans="5:5" x14ac:dyDescent="0.25">
      <c r="E542" s="67" t="str">
        <f>BUNDESLIGA!F609&amp;IF(OR(BUNDESLIGA!G609="",BUNDESLIGA!H609=""),"",IF(BUNDESLIGA!G609&gt;BUNDESLIGA!H609,"",IF(BUNDESLIGA!G609&lt;BUNDESLIGA!H609,"","")))</f>
        <v/>
      </c>
    </row>
    <row r="543" spans="5:5" x14ac:dyDescent="0.25">
      <c r="E543" s="67" t="str">
        <f>BUNDESLIGA!F610&amp;IF(OR(BUNDESLIGA!G610="",BUNDESLIGA!H610=""),"",IF(BUNDESLIGA!G610&gt;BUNDESLIGA!H610,"",IF(BUNDESLIGA!G610&lt;BUNDESLIGA!H610,"","")))</f>
        <v/>
      </c>
    </row>
    <row r="544" spans="5:5" x14ac:dyDescent="0.25">
      <c r="E544" s="67" t="str">
        <f>BUNDESLIGA!F611&amp;IF(OR(BUNDESLIGA!G611="",BUNDESLIGA!H611=""),"",IF(BUNDESLIGA!G611&gt;BUNDESLIGA!H611,"",IF(BUNDESLIGA!G611&lt;BUNDESLIGA!H611,"","")))</f>
        <v/>
      </c>
    </row>
    <row r="545" spans="5:5" x14ac:dyDescent="0.25">
      <c r="E545" s="67" t="str">
        <f>BUNDESLIGA!F612&amp;IF(OR(BUNDESLIGA!G612="",BUNDESLIGA!H612=""),"",IF(BUNDESLIGA!G612&gt;BUNDESLIGA!H612,"",IF(BUNDESLIGA!G612&lt;BUNDESLIGA!H612,"","")))</f>
        <v/>
      </c>
    </row>
    <row r="546" spans="5:5" x14ac:dyDescent="0.25">
      <c r="E546" s="67" t="str">
        <f>BUNDESLIGA!F613&amp;IF(OR(BUNDESLIGA!G613="",BUNDESLIGA!H613=""),"",IF(BUNDESLIGA!G613&gt;BUNDESLIGA!H613,"",IF(BUNDESLIGA!G613&lt;BUNDESLIGA!H613,"","")))</f>
        <v/>
      </c>
    </row>
    <row r="547" spans="5:5" x14ac:dyDescent="0.25">
      <c r="E547" s="67" t="str">
        <f>BUNDESLIGA!F614&amp;IF(OR(BUNDESLIGA!G614="",BUNDESLIGA!H614=""),"",IF(BUNDESLIGA!G614&gt;BUNDESLIGA!H614,"",IF(BUNDESLIGA!G614&lt;BUNDESLIGA!H614,"","")))</f>
        <v/>
      </c>
    </row>
    <row r="548" spans="5:5" x14ac:dyDescent="0.25">
      <c r="E548" s="67" t="str">
        <f>BUNDESLIGA!F615&amp;IF(OR(BUNDESLIGA!G615="",BUNDESLIGA!H615=""),"",IF(BUNDESLIGA!G615&gt;BUNDESLIGA!H615,"",IF(BUNDESLIGA!G615&lt;BUNDESLIGA!H615,"","")))</f>
        <v/>
      </c>
    </row>
    <row r="549" spans="5:5" x14ac:dyDescent="0.25">
      <c r="E549" s="67" t="str">
        <f>BUNDESLIGA!F616&amp;IF(OR(BUNDESLIGA!G616="",BUNDESLIGA!H616=""),"",IF(BUNDESLIGA!G616&gt;BUNDESLIGA!H616,"",IF(BUNDESLIGA!G616&lt;BUNDESLIGA!H616,"","")))</f>
        <v/>
      </c>
    </row>
    <row r="550" spans="5:5" x14ac:dyDescent="0.25">
      <c r="E550" s="67" t="str">
        <f>BUNDESLIGA!F617&amp;IF(OR(BUNDESLIGA!G617="",BUNDESLIGA!H617=""),"",IF(BUNDESLIGA!G617&gt;BUNDESLIGA!H617,"",IF(BUNDESLIGA!G617&lt;BUNDESLIGA!H617,"","")))</f>
        <v/>
      </c>
    </row>
    <row r="551" spans="5:5" x14ac:dyDescent="0.25">
      <c r="E551" s="67" t="str">
        <f>BUNDESLIGA!F618&amp;IF(OR(BUNDESLIGA!G618="",BUNDESLIGA!H618=""),"",IF(BUNDESLIGA!G618&gt;BUNDESLIGA!H618,"",IF(BUNDESLIGA!G618&lt;BUNDESLIGA!H618,"","")))</f>
        <v/>
      </c>
    </row>
    <row r="552" spans="5:5" x14ac:dyDescent="0.25">
      <c r="E552" s="67" t="str">
        <f>BUNDESLIGA!F619&amp;IF(OR(BUNDESLIGA!G619="",BUNDESLIGA!H619=""),"",IF(BUNDESLIGA!G619&gt;BUNDESLIGA!H619,"",IF(BUNDESLIGA!G619&lt;BUNDESLIGA!H619,"","")))</f>
        <v/>
      </c>
    </row>
    <row r="553" spans="5:5" x14ac:dyDescent="0.25">
      <c r="E553" s="67" t="str">
        <f>BUNDESLIGA!F620&amp;IF(OR(BUNDESLIGA!G620="",BUNDESLIGA!H620=""),"",IF(BUNDESLIGA!G620&gt;BUNDESLIGA!H620,"",IF(BUNDESLIGA!G620&lt;BUNDESLIGA!H620,"","")))</f>
        <v/>
      </c>
    </row>
    <row r="554" spans="5:5" x14ac:dyDescent="0.25">
      <c r="E554" s="67" t="str">
        <f>BUNDESLIGA!F621&amp;IF(OR(BUNDESLIGA!G621="",BUNDESLIGA!H621=""),"",IF(BUNDESLIGA!G621&gt;BUNDESLIGA!H621,"",IF(BUNDESLIGA!G621&lt;BUNDESLIGA!H621,"","")))</f>
        <v/>
      </c>
    </row>
    <row r="555" spans="5:5" x14ac:dyDescent="0.25">
      <c r="E555" s="67" t="str">
        <f>BUNDESLIGA!F622&amp;IF(OR(BUNDESLIGA!G622="",BUNDESLIGA!H622=""),"",IF(BUNDESLIGA!G622&gt;BUNDESLIGA!H622,"",IF(BUNDESLIGA!G622&lt;BUNDESLIGA!H622,"","")))</f>
        <v/>
      </c>
    </row>
    <row r="556" spans="5:5" x14ac:dyDescent="0.25">
      <c r="E556" s="67" t="str">
        <f>BUNDESLIGA!F623&amp;IF(OR(BUNDESLIGA!G623="",BUNDESLIGA!H623=""),"",IF(BUNDESLIGA!G623&gt;BUNDESLIGA!H623,"",IF(BUNDESLIGA!G623&lt;BUNDESLIGA!H623,"","")))</f>
        <v/>
      </c>
    </row>
    <row r="557" spans="5:5" x14ac:dyDescent="0.25">
      <c r="E557" s="67" t="str">
        <f>BUNDESLIGA!F624&amp;IF(OR(BUNDESLIGA!G624="",BUNDESLIGA!H624=""),"",IF(BUNDESLIGA!G624&gt;BUNDESLIGA!H624,"",IF(BUNDESLIGA!G624&lt;BUNDESLIGA!H624,"","")))</f>
        <v/>
      </c>
    </row>
    <row r="558" spans="5:5" x14ac:dyDescent="0.25">
      <c r="E558" s="67" t="str">
        <f>BUNDESLIGA!F625&amp;IF(OR(BUNDESLIGA!G625="",BUNDESLIGA!H625=""),"",IF(BUNDESLIGA!G625&gt;BUNDESLIGA!H625,"",IF(BUNDESLIGA!G625&lt;BUNDESLIGA!H625,"","")))</f>
        <v/>
      </c>
    </row>
    <row r="559" spans="5:5" x14ac:dyDescent="0.25">
      <c r="E559" s="67" t="str">
        <f>BUNDESLIGA!F626&amp;IF(OR(BUNDESLIGA!G626="",BUNDESLIGA!H626=""),"",IF(BUNDESLIGA!G626&gt;BUNDESLIGA!H626,"",IF(BUNDESLIGA!G626&lt;BUNDESLIGA!H626,"","")))</f>
        <v/>
      </c>
    </row>
    <row r="560" spans="5:5" x14ac:dyDescent="0.25">
      <c r="E560" s="67" t="str">
        <f>BUNDESLIGA!F627&amp;IF(OR(BUNDESLIGA!G627="",BUNDESLIGA!H627=""),"",IF(BUNDESLIGA!G627&gt;BUNDESLIGA!H627,"",IF(BUNDESLIGA!G627&lt;BUNDESLIGA!H627,"","")))</f>
        <v/>
      </c>
    </row>
    <row r="561" spans="5:5" x14ac:dyDescent="0.25">
      <c r="E561" s="67" t="str">
        <f>BUNDESLIGA!F628&amp;IF(OR(BUNDESLIGA!G628="",BUNDESLIGA!H628=""),"",IF(BUNDESLIGA!G628&gt;BUNDESLIGA!H628,"",IF(BUNDESLIGA!G628&lt;BUNDESLIGA!H628,"","")))</f>
        <v/>
      </c>
    </row>
    <row r="562" spans="5:5" x14ac:dyDescent="0.25">
      <c r="E562" s="67" t="str">
        <f>BUNDESLIGA!F629&amp;IF(OR(BUNDESLIGA!G629="",BUNDESLIGA!H629=""),"",IF(BUNDESLIGA!G629&gt;BUNDESLIGA!H629,"",IF(BUNDESLIGA!G629&lt;BUNDESLIGA!H629,"","")))</f>
        <v/>
      </c>
    </row>
    <row r="563" spans="5:5" x14ac:dyDescent="0.25">
      <c r="E563" s="67" t="str">
        <f>BUNDESLIGA!F630&amp;IF(OR(BUNDESLIGA!G630="",BUNDESLIGA!H630=""),"",IF(BUNDESLIGA!G630&gt;BUNDESLIGA!H630,"",IF(BUNDESLIGA!G630&lt;BUNDESLIGA!H630,"","")))</f>
        <v/>
      </c>
    </row>
    <row r="564" spans="5:5" x14ac:dyDescent="0.25">
      <c r="E564" s="67" t="str">
        <f>BUNDESLIGA!F631&amp;IF(OR(BUNDESLIGA!G631="",BUNDESLIGA!H631=""),"",IF(BUNDESLIGA!G631&gt;BUNDESLIGA!H631,"",IF(BUNDESLIGA!G631&lt;BUNDESLIGA!H631,"","")))</f>
        <v/>
      </c>
    </row>
    <row r="565" spans="5:5" x14ac:dyDescent="0.25">
      <c r="E565" s="67" t="str">
        <f>BUNDESLIGA!F632&amp;IF(OR(BUNDESLIGA!G632="",BUNDESLIGA!H632=""),"",IF(BUNDESLIGA!G632&gt;BUNDESLIGA!H632,"",IF(BUNDESLIGA!G632&lt;BUNDESLIGA!H632,"","")))</f>
        <v/>
      </c>
    </row>
    <row r="566" spans="5:5" x14ac:dyDescent="0.25">
      <c r="E566" s="67" t="str">
        <f>BUNDESLIGA!F633&amp;IF(OR(BUNDESLIGA!G633="",BUNDESLIGA!H633=""),"",IF(BUNDESLIGA!G633&gt;BUNDESLIGA!H633,"",IF(BUNDESLIGA!G633&lt;BUNDESLIGA!H633,"","")))</f>
        <v/>
      </c>
    </row>
    <row r="567" spans="5:5" x14ac:dyDescent="0.25">
      <c r="E567" s="67" t="str">
        <f>BUNDESLIGA!F634&amp;IF(OR(BUNDESLIGA!G634="",BUNDESLIGA!H634=""),"",IF(BUNDESLIGA!G634&gt;BUNDESLIGA!H634,"",IF(BUNDESLIGA!G634&lt;BUNDESLIGA!H634,"","")))</f>
        <v/>
      </c>
    </row>
    <row r="568" spans="5:5" x14ac:dyDescent="0.25">
      <c r="E568" s="67" t="str">
        <f>BUNDESLIGA!F635&amp;IF(OR(BUNDESLIGA!G635="",BUNDESLIGA!H635=""),"",IF(BUNDESLIGA!G635&gt;BUNDESLIGA!H635,"",IF(BUNDESLIGA!G635&lt;BUNDESLIGA!H635,"","")))</f>
        <v/>
      </c>
    </row>
    <row r="569" spans="5:5" x14ac:dyDescent="0.25">
      <c r="E569" s="67" t="str">
        <f>BUNDESLIGA!F636&amp;IF(OR(BUNDESLIGA!G636="",BUNDESLIGA!H636=""),"",IF(BUNDESLIGA!G636&gt;BUNDESLIGA!H636,"",IF(BUNDESLIGA!G636&lt;BUNDESLIGA!H636,"","")))</f>
        <v/>
      </c>
    </row>
    <row r="570" spans="5:5" x14ac:dyDescent="0.25">
      <c r="E570" s="67" t="str">
        <f>BUNDESLIGA!F637&amp;IF(OR(BUNDESLIGA!G637="",BUNDESLIGA!H637=""),"",IF(BUNDESLIGA!G637&gt;BUNDESLIGA!H637,"",IF(BUNDESLIGA!G637&lt;BUNDESLIGA!H637,"","")))</f>
        <v/>
      </c>
    </row>
    <row r="571" spans="5:5" x14ac:dyDescent="0.25">
      <c r="E571" s="67" t="str">
        <f>BUNDESLIGA!F638&amp;IF(OR(BUNDESLIGA!G638="",BUNDESLIGA!H638=""),"",IF(BUNDESLIGA!G638&gt;BUNDESLIGA!H638,"",IF(BUNDESLIGA!G638&lt;BUNDESLIGA!H638,"","")))</f>
        <v/>
      </c>
    </row>
    <row r="572" spans="5:5" x14ac:dyDescent="0.25">
      <c r="E572" s="67" t="str">
        <f>BUNDESLIGA!F639&amp;IF(OR(BUNDESLIGA!G639="",BUNDESLIGA!H639=""),"",IF(BUNDESLIGA!G639&gt;BUNDESLIGA!H639,"",IF(BUNDESLIGA!G639&lt;BUNDESLIGA!H639,"","")))</f>
        <v/>
      </c>
    </row>
    <row r="573" spans="5:5" x14ac:dyDescent="0.25">
      <c r="E573" s="67" t="str">
        <f>BUNDESLIGA!F640&amp;IF(OR(BUNDESLIGA!G640="",BUNDESLIGA!H640=""),"",IF(BUNDESLIGA!G640&gt;BUNDESLIGA!H640,"",IF(BUNDESLIGA!G640&lt;BUNDESLIGA!H640,"","")))</f>
        <v/>
      </c>
    </row>
    <row r="574" spans="5:5" x14ac:dyDescent="0.25">
      <c r="E574" s="67" t="str">
        <f>BUNDESLIGA!F641&amp;IF(OR(BUNDESLIGA!G641="",BUNDESLIGA!H641=""),"",IF(BUNDESLIGA!G641&gt;BUNDESLIGA!H641,"",IF(BUNDESLIGA!G641&lt;BUNDESLIGA!H641,"","")))</f>
        <v/>
      </c>
    </row>
    <row r="575" spans="5:5" x14ac:dyDescent="0.25">
      <c r="E575" s="67" t="str">
        <f>BUNDESLIGA!F642&amp;IF(OR(BUNDESLIGA!G642="",BUNDESLIGA!H642=""),"",IF(BUNDESLIGA!G642&gt;BUNDESLIGA!H642,"",IF(BUNDESLIGA!G642&lt;BUNDESLIGA!H642,"","")))</f>
        <v/>
      </c>
    </row>
    <row r="576" spans="5:5" x14ac:dyDescent="0.25">
      <c r="E576" s="67" t="str">
        <f>BUNDESLIGA!F643&amp;IF(OR(BUNDESLIGA!G643="",BUNDESLIGA!H643=""),"",IF(BUNDESLIGA!G643&gt;BUNDESLIGA!H643,"",IF(BUNDESLIGA!G643&lt;BUNDESLIGA!H643,"","")))</f>
        <v/>
      </c>
    </row>
    <row r="577" spans="5:5" x14ac:dyDescent="0.25">
      <c r="E577" s="67" t="str">
        <f>BUNDESLIGA!F644&amp;IF(OR(BUNDESLIGA!G644="",BUNDESLIGA!H644=""),"",IF(BUNDESLIGA!G644&gt;BUNDESLIGA!H644,"",IF(BUNDESLIGA!G644&lt;BUNDESLIGA!H644,"","")))</f>
        <v/>
      </c>
    </row>
    <row r="578" spans="5:5" x14ac:dyDescent="0.25">
      <c r="E578" s="67" t="str">
        <f>BUNDESLIGA!F645&amp;IF(OR(BUNDESLIGA!G645="",BUNDESLIGA!H645=""),"",IF(BUNDESLIGA!G645&gt;BUNDESLIGA!H645,"",IF(BUNDESLIGA!G645&lt;BUNDESLIGA!H645,"","")))</f>
        <v/>
      </c>
    </row>
    <row r="579" spans="5:5" x14ac:dyDescent="0.25">
      <c r="E579" s="67" t="str">
        <f>BUNDESLIGA!F646&amp;IF(OR(BUNDESLIGA!G646="",BUNDESLIGA!H646=""),"",IF(BUNDESLIGA!G646&gt;BUNDESLIGA!H646,"",IF(BUNDESLIGA!G646&lt;BUNDESLIGA!H646,"","")))</f>
        <v/>
      </c>
    </row>
    <row r="580" spans="5:5" x14ac:dyDescent="0.25">
      <c r="E580" s="67" t="str">
        <f>BUNDESLIGA!F647&amp;IF(OR(BUNDESLIGA!G647="",BUNDESLIGA!H647=""),"",IF(BUNDESLIGA!G647&gt;BUNDESLIGA!H647,"",IF(BUNDESLIGA!G647&lt;BUNDESLIGA!H647,"","")))</f>
        <v/>
      </c>
    </row>
    <row r="581" spans="5:5" x14ac:dyDescent="0.25">
      <c r="E581" s="67" t="str">
        <f>BUNDESLIGA!F648&amp;IF(OR(BUNDESLIGA!G648="",BUNDESLIGA!H648=""),"",IF(BUNDESLIGA!G648&gt;BUNDESLIGA!H648,"",IF(BUNDESLIGA!G648&lt;BUNDESLIGA!H648,"","")))</f>
        <v/>
      </c>
    </row>
    <row r="582" spans="5:5" x14ac:dyDescent="0.25">
      <c r="E582" s="67" t="str">
        <f>BUNDESLIGA!F649&amp;IF(OR(BUNDESLIGA!G649="",BUNDESLIGA!H649=""),"",IF(BUNDESLIGA!G649&gt;BUNDESLIGA!H649,"",IF(BUNDESLIGA!G649&lt;BUNDESLIGA!H649,"","")))</f>
        <v/>
      </c>
    </row>
    <row r="583" spans="5:5" x14ac:dyDescent="0.25">
      <c r="E583" s="67" t="str">
        <f>BUNDESLIGA!F650&amp;IF(OR(BUNDESLIGA!G650="",BUNDESLIGA!H650=""),"",IF(BUNDESLIGA!G650&gt;BUNDESLIGA!H650,"",IF(BUNDESLIGA!G650&lt;BUNDESLIGA!H650,"","")))</f>
        <v/>
      </c>
    </row>
    <row r="584" spans="5:5" x14ac:dyDescent="0.25">
      <c r="E584" s="67" t="str">
        <f>BUNDESLIGA!F651&amp;IF(OR(BUNDESLIGA!G651="",BUNDESLIGA!H651=""),"",IF(BUNDESLIGA!G651&gt;BUNDESLIGA!H651,"",IF(BUNDESLIGA!G651&lt;BUNDESLIGA!H651,"","")))</f>
        <v/>
      </c>
    </row>
    <row r="585" spans="5:5" x14ac:dyDescent="0.25">
      <c r="E585" s="67" t="str">
        <f>BUNDESLIGA!F652&amp;IF(OR(BUNDESLIGA!G652="",BUNDESLIGA!H652=""),"",IF(BUNDESLIGA!G652&gt;BUNDESLIGA!H652,"",IF(BUNDESLIGA!G652&lt;BUNDESLIGA!H652,"","")))</f>
        <v/>
      </c>
    </row>
    <row r="586" spans="5:5" x14ac:dyDescent="0.25">
      <c r="E586" s="67" t="str">
        <f>BUNDESLIGA!F653&amp;IF(OR(BUNDESLIGA!G653="",BUNDESLIGA!H653=""),"",IF(BUNDESLIGA!G653&gt;BUNDESLIGA!H653,"",IF(BUNDESLIGA!G653&lt;BUNDESLIGA!H653,"","")))</f>
        <v/>
      </c>
    </row>
    <row r="587" spans="5:5" x14ac:dyDescent="0.25">
      <c r="E587" s="67" t="str">
        <f>BUNDESLIGA!F654&amp;IF(OR(BUNDESLIGA!G654="",BUNDESLIGA!H654=""),"",IF(BUNDESLIGA!G654&gt;BUNDESLIGA!H654,"",IF(BUNDESLIGA!G654&lt;BUNDESLIGA!H654,"","")))</f>
        <v/>
      </c>
    </row>
    <row r="588" spans="5:5" x14ac:dyDescent="0.25">
      <c r="E588" s="67" t="str">
        <f>BUNDESLIGA!F655&amp;IF(OR(BUNDESLIGA!G655="",BUNDESLIGA!H655=""),"",IF(BUNDESLIGA!G655&gt;BUNDESLIGA!H655,"",IF(BUNDESLIGA!G655&lt;BUNDESLIGA!H655,"","")))</f>
        <v/>
      </c>
    </row>
    <row r="589" spans="5:5" x14ac:dyDescent="0.25">
      <c r="E589" s="67" t="str">
        <f>BUNDESLIGA!F656&amp;IF(OR(BUNDESLIGA!G656="",BUNDESLIGA!H656=""),"",IF(BUNDESLIGA!G656&gt;BUNDESLIGA!H656,"",IF(BUNDESLIGA!G656&lt;BUNDESLIGA!H656,"","")))</f>
        <v/>
      </c>
    </row>
    <row r="590" spans="5:5" x14ac:dyDescent="0.25">
      <c r="E590" s="67" t="str">
        <f>BUNDESLIGA!F657&amp;IF(OR(BUNDESLIGA!G657="",BUNDESLIGA!H657=""),"",IF(BUNDESLIGA!G657&gt;BUNDESLIGA!H657,"",IF(BUNDESLIGA!G657&lt;BUNDESLIGA!H657,"","")))</f>
        <v/>
      </c>
    </row>
    <row r="591" spans="5:5" x14ac:dyDescent="0.25">
      <c r="E591" s="67" t="str">
        <f>BUNDESLIGA!F658&amp;IF(OR(BUNDESLIGA!G658="",BUNDESLIGA!H658=""),"",IF(BUNDESLIGA!G658&gt;BUNDESLIGA!H658,"",IF(BUNDESLIGA!G658&lt;BUNDESLIGA!H658,"","")))</f>
        <v/>
      </c>
    </row>
    <row r="592" spans="5:5" x14ac:dyDescent="0.25">
      <c r="E592" s="67" t="str">
        <f>BUNDESLIGA!F659&amp;IF(OR(BUNDESLIGA!G659="",BUNDESLIGA!H659=""),"",IF(BUNDESLIGA!G659&gt;BUNDESLIGA!H659,"",IF(BUNDESLIGA!G659&lt;BUNDESLIGA!H659,"","")))</f>
        <v/>
      </c>
    </row>
    <row r="593" spans="5:5" x14ac:dyDescent="0.25">
      <c r="E593" s="67" t="str">
        <f>BUNDESLIGA!F660&amp;IF(OR(BUNDESLIGA!G660="",BUNDESLIGA!H660=""),"",IF(BUNDESLIGA!G660&gt;BUNDESLIGA!H660,"",IF(BUNDESLIGA!G660&lt;BUNDESLIGA!H660,"","")))</f>
        <v/>
      </c>
    </row>
    <row r="594" spans="5:5" x14ac:dyDescent="0.25">
      <c r="E594" s="67" t="str">
        <f>BUNDESLIGA!F661&amp;IF(OR(BUNDESLIGA!G661="",BUNDESLIGA!H661=""),"",IF(BUNDESLIGA!G661&gt;BUNDESLIGA!H661,"",IF(BUNDESLIGA!G661&lt;BUNDESLIGA!H661,"","")))</f>
        <v/>
      </c>
    </row>
    <row r="595" spans="5:5" x14ac:dyDescent="0.25">
      <c r="E595" s="67" t="str">
        <f>BUNDESLIGA!F662&amp;IF(OR(BUNDESLIGA!G662="",BUNDESLIGA!H662=""),"",IF(BUNDESLIGA!G662&gt;BUNDESLIGA!H662,"",IF(BUNDESLIGA!G662&lt;BUNDESLIGA!H662,"","")))</f>
        <v/>
      </c>
    </row>
    <row r="596" spans="5:5" x14ac:dyDescent="0.25">
      <c r="E596" s="67" t="str">
        <f>BUNDESLIGA!F663&amp;IF(OR(BUNDESLIGA!G663="",BUNDESLIGA!H663=""),"",IF(BUNDESLIGA!G663&gt;BUNDESLIGA!H663,"",IF(BUNDESLIGA!G663&lt;BUNDESLIGA!H663,"","")))</f>
        <v/>
      </c>
    </row>
    <row r="597" spans="5:5" x14ac:dyDescent="0.25">
      <c r="E597" s="67" t="str">
        <f>BUNDESLIGA!F664&amp;IF(OR(BUNDESLIGA!G664="",BUNDESLIGA!H664=""),"",IF(BUNDESLIGA!G664&gt;BUNDESLIGA!H664,"",IF(BUNDESLIGA!G664&lt;BUNDESLIGA!H664,"","")))</f>
        <v/>
      </c>
    </row>
    <row r="598" spans="5:5" x14ac:dyDescent="0.25">
      <c r="E598" s="67" t="str">
        <f>BUNDESLIGA!F665&amp;IF(OR(BUNDESLIGA!G665="",BUNDESLIGA!H665=""),"",IF(BUNDESLIGA!G665&gt;BUNDESLIGA!H665,"",IF(BUNDESLIGA!G665&lt;BUNDESLIGA!H665,"","")))</f>
        <v/>
      </c>
    </row>
    <row r="599" spans="5:5" x14ac:dyDescent="0.25">
      <c r="E599" s="67" t="str">
        <f>BUNDESLIGA!F666&amp;IF(OR(BUNDESLIGA!G666="",BUNDESLIGA!H666=""),"",IF(BUNDESLIGA!G666&gt;BUNDESLIGA!H666,"",IF(BUNDESLIGA!G666&lt;BUNDESLIGA!H666,"","")))</f>
        <v/>
      </c>
    </row>
    <row r="600" spans="5:5" x14ac:dyDescent="0.25">
      <c r="E600" s="67" t="str">
        <f>BUNDESLIGA!F667&amp;IF(OR(BUNDESLIGA!G667="",BUNDESLIGA!H667=""),"",IF(BUNDESLIGA!G667&gt;BUNDESLIGA!H667,"",IF(BUNDESLIGA!G667&lt;BUNDESLIGA!H667,"","")))</f>
        <v/>
      </c>
    </row>
    <row r="601" spans="5:5" x14ac:dyDescent="0.25">
      <c r="E601" s="67" t="str">
        <f>BUNDESLIGA!F668&amp;IF(OR(BUNDESLIGA!G668="",BUNDESLIGA!H668=""),"",IF(BUNDESLIGA!G668&gt;BUNDESLIGA!H668,"",IF(BUNDESLIGA!G668&lt;BUNDESLIGA!H668,"","")))</f>
        <v/>
      </c>
    </row>
    <row r="602" spans="5:5" x14ac:dyDescent="0.25">
      <c r="E602" s="67" t="str">
        <f>BUNDESLIGA!F669&amp;IF(OR(BUNDESLIGA!G669="",BUNDESLIGA!H669=""),"",IF(BUNDESLIGA!G669&gt;BUNDESLIGA!H669,"",IF(BUNDESLIGA!G669&lt;BUNDESLIGA!H669,"","")))</f>
        <v/>
      </c>
    </row>
    <row r="603" spans="5:5" x14ac:dyDescent="0.25">
      <c r="E603" s="67" t="str">
        <f>BUNDESLIGA!F670&amp;IF(OR(BUNDESLIGA!G670="",BUNDESLIGA!H670=""),"",IF(BUNDESLIGA!G670&gt;BUNDESLIGA!H670,"",IF(BUNDESLIGA!G670&lt;BUNDESLIGA!H670,"","")))</f>
        <v/>
      </c>
    </row>
    <row r="604" spans="5:5" x14ac:dyDescent="0.25">
      <c r="E604" s="67" t="str">
        <f>BUNDESLIGA!F671&amp;IF(OR(BUNDESLIGA!G671="",BUNDESLIGA!H671=""),"",IF(BUNDESLIGA!G671&gt;BUNDESLIGA!H671,"",IF(BUNDESLIGA!G671&lt;BUNDESLIGA!H671,"","")))</f>
        <v/>
      </c>
    </row>
    <row r="605" spans="5:5" x14ac:dyDescent="0.25">
      <c r="E605" s="67" t="str">
        <f>BUNDESLIGA!F672&amp;IF(OR(BUNDESLIGA!G672="",BUNDESLIGA!H672=""),"",IF(BUNDESLIGA!G672&gt;BUNDESLIGA!H672,"",IF(BUNDESLIGA!G672&lt;BUNDESLIGA!H672,"","")))</f>
        <v/>
      </c>
    </row>
    <row r="606" spans="5:5" x14ac:dyDescent="0.25">
      <c r="E606" s="67" t="str">
        <f>BUNDESLIGA!F673&amp;IF(OR(BUNDESLIGA!G673="",BUNDESLIGA!H673=""),"",IF(BUNDESLIGA!G673&gt;BUNDESLIGA!H673,"",IF(BUNDESLIGA!G673&lt;BUNDESLIGA!H673,"","")))</f>
        <v/>
      </c>
    </row>
    <row r="607" spans="5:5" x14ac:dyDescent="0.25">
      <c r="E607" s="67" t="str">
        <f>BUNDESLIGA!F674&amp;IF(OR(BUNDESLIGA!G674="",BUNDESLIGA!H674=""),"",IF(BUNDESLIGA!G674&gt;BUNDESLIGA!H674,"",IF(BUNDESLIGA!G674&lt;BUNDESLIGA!H674,"","")))</f>
        <v/>
      </c>
    </row>
    <row r="608" spans="5:5" x14ac:dyDescent="0.25">
      <c r="E608" s="67" t="str">
        <f>BUNDESLIGA!F675&amp;IF(OR(BUNDESLIGA!G675="",BUNDESLIGA!H675=""),"",IF(BUNDESLIGA!G675&gt;BUNDESLIGA!H675,"",IF(BUNDESLIGA!G675&lt;BUNDESLIGA!H675,"","")))</f>
        <v/>
      </c>
    </row>
    <row r="609" spans="5:5" x14ac:dyDescent="0.25">
      <c r="E609" s="67" t="str">
        <f>BUNDESLIGA!F676&amp;IF(OR(BUNDESLIGA!G676="",BUNDESLIGA!H676=""),"",IF(BUNDESLIGA!G676&gt;BUNDESLIGA!H676,"",IF(BUNDESLIGA!G676&lt;BUNDESLIGA!H676,"","")))</f>
        <v/>
      </c>
    </row>
    <row r="610" spans="5:5" x14ac:dyDescent="0.25">
      <c r="E610" s="67" t="str">
        <f>BUNDESLIGA!F677&amp;IF(OR(BUNDESLIGA!G677="",BUNDESLIGA!H677=""),"",IF(BUNDESLIGA!G677&gt;BUNDESLIGA!H677,"",IF(BUNDESLIGA!G677&lt;BUNDESLIGA!H677,"","")))</f>
        <v/>
      </c>
    </row>
    <row r="611" spans="5:5" x14ac:dyDescent="0.25">
      <c r="E611" s="67" t="str">
        <f>BUNDESLIGA!F678&amp;IF(OR(BUNDESLIGA!G678="",BUNDESLIGA!H678=""),"",IF(BUNDESLIGA!G678&gt;BUNDESLIGA!H678,"",IF(BUNDESLIGA!G678&lt;BUNDESLIGA!H678,"","")))</f>
        <v/>
      </c>
    </row>
    <row r="612" spans="5:5" x14ac:dyDescent="0.25">
      <c r="E612" s="67" t="str">
        <f>BUNDESLIGA!F679&amp;IF(OR(BUNDESLIGA!G679="",BUNDESLIGA!H679=""),"",IF(BUNDESLIGA!G679&gt;BUNDESLIGA!H679,"",IF(BUNDESLIGA!G679&lt;BUNDESLIGA!H679,"","")))</f>
        <v/>
      </c>
    </row>
    <row r="613" spans="5:5" x14ac:dyDescent="0.25">
      <c r="E613" s="67" t="str">
        <f>BUNDESLIGA!F680&amp;IF(OR(BUNDESLIGA!G680="",BUNDESLIGA!H680=""),"",IF(BUNDESLIGA!G680&gt;BUNDESLIGA!H680,"",IF(BUNDESLIGA!G680&lt;BUNDESLIGA!H680,"","")))</f>
        <v/>
      </c>
    </row>
    <row r="614" spans="5:5" x14ac:dyDescent="0.25">
      <c r="E614" s="67" t="str">
        <f>BUNDESLIGA!F681&amp;IF(OR(BUNDESLIGA!G681="",BUNDESLIGA!H681=""),"",IF(BUNDESLIGA!G681&gt;BUNDESLIGA!H681,"",IF(BUNDESLIGA!G681&lt;BUNDESLIGA!H681,"","")))</f>
        <v/>
      </c>
    </row>
    <row r="615" spans="5:5" x14ac:dyDescent="0.25">
      <c r="E615" s="67" t="str">
        <f>BUNDESLIGA!F682&amp;IF(OR(BUNDESLIGA!G682="",BUNDESLIGA!H682=""),"",IF(BUNDESLIGA!G682&gt;BUNDESLIGA!H682,"",IF(BUNDESLIGA!G682&lt;BUNDESLIGA!H682,"","")))</f>
        <v/>
      </c>
    </row>
    <row r="616" spans="5:5" x14ac:dyDescent="0.25">
      <c r="E616" s="67" t="str">
        <f>BUNDESLIGA!F683&amp;IF(OR(BUNDESLIGA!G683="",BUNDESLIGA!H683=""),"",IF(BUNDESLIGA!G683&gt;BUNDESLIGA!H683,"",IF(BUNDESLIGA!G683&lt;BUNDESLIGA!H683,"","")))</f>
        <v/>
      </c>
    </row>
    <row r="617" spans="5:5" x14ac:dyDescent="0.25">
      <c r="E617" s="67" t="str">
        <f>BUNDESLIGA!F684&amp;IF(OR(BUNDESLIGA!G684="",BUNDESLIGA!H684=""),"",IF(BUNDESLIGA!G684&gt;BUNDESLIGA!H684,"",IF(BUNDESLIGA!G684&lt;BUNDESLIGA!H684,"","")))</f>
        <v/>
      </c>
    </row>
    <row r="618" spans="5:5" x14ac:dyDescent="0.25">
      <c r="E618" s="67" t="str">
        <f>BUNDESLIGA!F685&amp;IF(OR(BUNDESLIGA!G685="",BUNDESLIGA!H685=""),"",IF(BUNDESLIGA!G685&gt;BUNDESLIGA!H685,"",IF(BUNDESLIGA!G685&lt;BUNDESLIGA!H685,"","")))</f>
        <v/>
      </c>
    </row>
    <row r="619" spans="5:5" x14ac:dyDescent="0.25">
      <c r="E619" s="67" t="str">
        <f>BUNDESLIGA!F686&amp;IF(OR(BUNDESLIGA!G686="",BUNDESLIGA!H686=""),"",IF(BUNDESLIGA!G686&gt;BUNDESLIGA!H686,"",IF(BUNDESLIGA!G686&lt;BUNDESLIGA!H686,"","")))</f>
        <v/>
      </c>
    </row>
    <row r="620" spans="5:5" x14ac:dyDescent="0.25">
      <c r="E620" s="67" t="str">
        <f>BUNDESLIGA!F687&amp;IF(OR(BUNDESLIGA!G687="",BUNDESLIGA!H687=""),"",IF(BUNDESLIGA!G687&gt;BUNDESLIGA!H687,"",IF(BUNDESLIGA!G687&lt;BUNDESLIGA!H687,"","")))</f>
        <v/>
      </c>
    </row>
    <row r="621" spans="5:5" x14ac:dyDescent="0.25">
      <c r="E621" s="67" t="str">
        <f>BUNDESLIGA!F688&amp;IF(OR(BUNDESLIGA!G688="",BUNDESLIGA!H688=""),"",IF(BUNDESLIGA!G688&gt;BUNDESLIGA!H688,"",IF(BUNDESLIGA!G688&lt;BUNDESLIGA!H688,"","")))</f>
        <v/>
      </c>
    </row>
    <row r="622" spans="5:5" x14ac:dyDescent="0.25">
      <c r="E622" s="67" t="str">
        <f>BUNDESLIGA!F689&amp;IF(OR(BUNDESLIGA!G689="",BUNDESLIGA!H689=""),"",IF(BUNDESLIGA!G689&gt;BUNDESLIGA!H689,"",IF(BUNDESLIGA!G689&lt;BUNDESLIGA!H689,"","")))</f>
        <v/>
      </c>
    </row>
    <row r="623" spans="5:5" x14ac:dyDescent="0.25">
      <c r="E623" s="67" t="str">
        <f>BUNDESLIGA!F690&amp;IF(OR(BUNDESLIGA!G690="",BUNDESLIGA!H690=""),"",IF(BUNDESLIGA!G690&gt;BUNDESLIGA!H690,"",IF(BUNDESLIGA!G690&lt;BUNDESLIGA!H690,"","")))</f>
        <v/>
      </c>
    </row>
    <row r="624" spans="5:5" x14ac:dyDescent="0.25">
      <c r="E624" s="67" t="str">
        <f>BUNDESLIGA!F691&amp;IF(OR(BUNDESLIGA!G691="",BUNDESLIGA!H691=""),"",IF(BUNDESLIGA!G691&gt;BUNDESLIGA!H691,"",IF(BUNDESLIGA!G691&lt;BUNDESLIGA!H691,"","")))</f>
        <v/>
      </c>
    </row>
    <row r="625" spans="5:5" x14ac:dyDescent="0.25">
      <c r="E625" s="67" t="str">
        <f>BUNDESLIGA!F692&amp;IF(OR(BUNDESLIGA!G692="",BUNDESLIGA!H692=""),"",IF(BUNDESLIGA!G692&gt;BUNDESLIGA!H692,"",IF(BUNDESLIGA!G692&lt;BUNDESLIGA!H692,"","")))</f>
        <v/>
      </c>
    </row>
    <row r="626" spans="5:5" x14ac:dyDescent="0.25">
      <c r="E626" s="67" t="str">
        <f>BUNDESLIGA!F693&amp;IF(OR(BUNDESLIGA!G693="",BUNDESLIGA!H693=""),"",IF(BUNDESLIGA!G693&gt;BUNDESLIGA!H693,"",IF(BUNDESLIGA!G693&lt;BUNDESLIGA!H693,"","")))</f>
        <v/>
      </c>
    </row>
    <row r="627" spans="5:5" x14ac:dyDescent="0.25">
      <c r="E627" s="67" t="str">
        <f>BUNDESLIGA!F694&amp;IF(OR(BUNDESLIGA!G694="",BUNDESLIGA!H694=""),"",IF(BUNDESLIGA!G694&gt;BUNDESLIGA!H694,"",IF(BUNDESLIGA!G694&lt;BUNDESLIGA!H694,"","")))</f>
        <v/>
      </c>
    </row>
    <row r="628" spans="5:5" x14ac:dyDescent="0.25">
      <c r="E628" s="67" t="str">
        <f>BUNDESLIGA!F695&amp;IF(OR(BUNDESLIGA!G695="",BUNDESLIGA!H695=""),"",IF(BUNDESLIGA!G695&gt;BUNDESLIGA!H695,"",IF(BUNDESLIGA!G695&lt;BUNDESLIGA!H695,"","")))</f>
        <v/>
      </c>
    </row>
    <row r="629" spans="5:5" x14ac:dyDescent="0.25">
      <c r="E629" s="67" t="str">
        <f>BUNDESLIGA!F696&amp;IF(OR(BUNDESLIGA!G696="",BUNDESLIGA!H696=""),"",IF(BUNDESLIGA!G696&gt;BUNDESLIGA!H696,"",IF(BUNDESLIGA!G696&lt;BUNDESLIGA!H696,"","")))</f>
        <v/>
      </c>
    </row>
    <row r="630" spans="5:5" x14ac:dyDescent="0.25">
      <c r="E630" s="67" t="str">
        <f>BUNDESLIGA!F697&amp;IF(OR(BUNDESLIGA!G697="",BUNDESLIGA!H697=""),"",IF(BUNDESLIGA!G697&gt;BUNDESLIGA!H697,"",IF(BUNDESLIGA!G697&lt;BUNDESLIGA!H697,"","")))</f>
        <v/>
      </c>
    </row>
    <row r="631" spans="5:5" x14ac:dyDescent="0.25">
      <c r="E631" s="67" t="str">
        <f>BUNDESLIGA!F698&amp;IF(OR(BUNDESLIGA!G698="",BUNDESLIGA!H698=""),"",IF(BUNDESLIGA!G698&gt;BUNDESLIGA!H698,"",IF(BUNDESLIGA!G698&lt;BUNDESLIGA!H698,"","")))</f>
        <v/>
      </c>
    </row>
    <row r="632" spans="5:5" x14ac:dyDescent="0.25">
      <c r="E632" s="67" t="str">
        <f>BUNDESLIGA!F699&amp;IF(OR(BUNDESLIGA!G699="",BUNDESLIGA!H699=""),"",IF(BUNDESLIGA!G699&gt;BUNDESLIGA!H699,"",IF(BUNDESLIGA!G699&lt;BUNDESLIGA!H699,"","")))</f>
        <v/>
      </c>
    </row>
    <row r="633" spans="5:5" x14ac:dyDescent="0.25">
      <c r="E633" s="67" t="str">
        <f>BUNDESLIGA!F700&amp;IF(OR(BUNDESLIGA!G700="",BUNDESLIGA!H700=""),"",IF(BUNDESLIGA!G700&gt;BUNDESLIGA!H700,"",IF(BUNDESLIGA!G700&lt;BUNDESLIGA!H700,"","")))</f>
        <v/>
      </c>
    </row>
    <row r="634" spans="5:5" x14ac:dyDescent="0.25">
      <c r="E634" s="67" t="str">
        <f>BUNDESLIGA!F701&amp;IF(OR(BUNDESLIGA!G701="",BUNDESLIGA!H701=""),"",IF(BUNDESLIGA!G701&gt;BUNDESLIGA!H701,"",IF(BUNDESLIGA!G701&lt;BUNDESLIGA!H701,"","")))</f>
        <v/>
      </c>
    </row>
    <row r="635" spans="5:5" x14ac:dyDescent="0.25">
      <c r="E635" s="67" t="str">
        <f>BUNDESLIGA!F702&amp;IF(OR(BUNDESLIGA!G702="",BUNDESLIGA!H702=""),"",IF(BUNDESLIGA!G702&gt;BUNDESLIGA!H702,"",IF(BUNDESLIGA!G702&lt;BUNDESLIGA!H702,"","")))</f>
        <v/>
      </c>
    </row>
    <row r="636" spans="5:5" x14ac:dyDescent="0.25">
      <c r="E636" s="67" t="str">
        <f>BUNDESLIGA!F703&amp;IF(OR(BUNDESLIGA!G703="",BUNDESLIGA!H703=""),"",IF(BUNDESLIGA!G703&gt;BUNDESLIGA!H703,"",IF(BUNDESLIGA!G703&lt;BUNDESLIGA!H703,"","")))</f>
        <v/>
      </c>
    </row>
    <row r="637" spans="5:5" x14ac:dyDescent="0.25">
      <c r="E637" s="67" t="str">
        <f>BUNDESLIGA!F704&amp;IF(OR(BUNDESLIGA!G704="",BUNDESLIGA!H704=""),"",IF(BUNDESLIGA!G704&gt;BUNDESLIGA!H704,"",IF(BUNDESLIGA!G704&lt;BUNDESLIGA!H704,"","")))</f>
        <v/>
      </c>
    </row>
    <row r="638" spans="5:5" x14ac:dyDescent="0.25">
      <c r="E638" s="67" t="str">
        <f>BUNDESLIGA!F705&amp;IF(OR(BUNDESLIGA!G705="",BUNDESLIGA!H705=""),"",IF(BUNDESLIGA!G705&gt;BUNDESLIGA!H705,"",IF(BUNDESLIGA!G705&lt;BUNDESLIGA!H705,"","")))</f>
        <v/>
      </c>
    </row>
    <row r="639" spans="5:5" x14ac:dyDescent="0.25">
      <c r="E639" s="67" t="str">
        <f>BUNDESLIGA!F706&amp;IF(OR(BUNDESLIGA!G706="",BUNDESLIGA!H706=""),"",IF(BUNDESLIGA!G706&gt;BUNDESLIGA!H706,"",IF(BUNDESLIGA!G706&lt;BUNDESLIGA!H706,"","")))</f>
        <v/>
      </c>
    </row>
    <row r="640" spans="5:5" x14ac:dyDescent="0.25">
      <c r="E640" s="67" t="str">
        <f>BUNDESLIGA!F707&amp;IF(OR(BUNDESLIGA!G707="",BUNDESLIGA!H707=""),"",IF(BUNDESLIGA!G707&gt;BUNDESLIGA!H707,"",IF(BUNDESLIGA!G707&lt;BUNDESLIGA!H707,"","")))</f>
        <v/>
      </c>
    </row>
    <row r="641" spans="5:5" x14ac:dyDescent="0.25">
      <c r="E641" s="67" t="str">
        <f>BUNDESLIGA!F708&amp;IF(OR(BUNDESLIGA!G708="",BUNDESLIGA!H708=""),"",IF(BUNDESLIGA!G708&gt;BUNDESLIGA!H708,"",IF(BUNDESLIGA!G708&lt;BUNDESLIGA!H708,"","")))</f>
        <v/>
      </c>
    </row>
    <row r="642" spans="5:5" x14ac:dyDescent="0.25">
      <c r="E642" s="67" t="str">
        <f>BUNDESLIGA!F709&amp;IF(OR(BUNDESLIGA!G709="",BUNDESLIGA!H709=""),"",IF(BUNDESLIGA!G709&gt;BUNDESLIGA!H709,"",IF(BUNDESLIGA!G709&lt;BUNDESLIGA!H709,"","")))</f>
        <v/>
      </c>
    </row>
    <row r="643" spans="5:5" x14ac:dyDescent="0.25">
      <c r="E643" s="67" t="str">
        <f>BUNDESLIGA!F710&amp;IF(OR(BUNDESLIGA!G710="",BUNDESLIGA!H710=""),"",IF(BUNDESLIGA!G710&gt;BUNDESLIGA!H710,"",IF(BUNDESLIGA!G710&lt;BUNDESLIGA!H710,"","")))</f>
        <v/>
      </c>
    </row>
    <row r="644" spans="5:5" x14ac:dyDescent="0.25">
      <c r="E644" s="67" t="str">
        <f>BUNDESLIGA!F711&amp;IF(OR(BUNDESLIGA!G711="",BUNDESLIGA!H711=""),"",IF(BUNDESLIGA!G711&gt;BUNDESLIGA!H711,"",IF(BUNDESLIGA!G711&lt;BUNDESLIGA!H711,"","")))</f>
        <v/>
      </c>
    </row>
    <row r="645" spans="5:5" x14ac:dyDescent="0.25">
      <c r="E645" s="67" t="str">
        <f>BUNDESLIGA!F712&amp;IF(OR(BUNDESLIGA!G712="",BUNDESLIGA!H712=""),"",IF(BUNDESLIGA!G712&gt;BUNDESLIGA!H712,"",IF(BUNDESLIGA!G712&lt;BUNDESLIGA!H712,"","")))</f>
        <v/>
      </c>
    </row>
    <row r="646" spans="5:5" x14ac:dyDescent="0.25">
      <c r="E646" s="67" t="str">
        <f>BUNDESLIGA!F713&amp;IF(OR(BUNDESLIGA!G713="",BUNDESLIGA!H713=""),"",IF(BUNDESLIGA!G713&gt;BUNDESLIGA!H713,"",IF(BUNDESLIGA!G713&lt;BUNDESLIGA!H713,"","")))</f>
        <v/>
      </c>
    </row>
    <row r="647" spans="5:5" x14ac:dyDescent="0.25">
      <c r="E647" s="67" t="str">
        <f>BUNDESLIGA!F714&amp;IF(OR(BUNDESLIGA!G714="",BUNDESLIGA!H714=""),"",IF(BUNDESLIGA!G714&gt;BUNDESLIGA!H714,"",IF(BUNDESLIGA!G714&lt;BUNDESLIGA!H714,"","")))</f>
        <v/>
      </c>
    </row>
    <row r="648" spans="5:5" x14ac:dyDescent="0.25">
      <c r="E648" s="67" t="str">
        <f>BUNDESLIGA!F715&amp;IF(OR(BUNDESLIGA!G715="",BUNDESLIGA!H715=""),"",IF(BUNDESLIGA!G715&gt;BUNDESLIGA!H715,"",IF(BUNDESLIGA!G715&lt;BUNDESLIGA!H715,"","")))</f>
        <v/>
      </c>
    </row>
    <row r="649" spans="5:5" x14ac:dyDescent="0.25">
      <c r="E649" s="67" t="str">
        <f>BUNDESLIGA!F716&amp;IF(OR(BUNDESLIGA!G716="",BUNDESLIGA!H716=""),"",IF(BUNDESLIGA!G716&gt;BUNDESLIGA!H716,"",IF(BUNDESLIGA!G716&lt;BUNDESLIGA!H716,"","")))</f>
        <v/>
      </c>
    </row>
    <row r="650" spans="5:5" x14ac:dyDescent="0.25">
      <c r="E650" s="67" t="str">
        <f>BUNDESLIGA!F717&amp;IF(OR(BUNDESLIGA!G717="",BUNDESLIGA!H717=""),"",IF(BUNDESLIGA!G717&gt;BUNDESLIGA!H717,"",IF(BUNDESLIGA!G717&lt;BUNDESLIGA!H717,"","")))</f>
        <v/>
      </c>
    </row>
    <row r="651" spans="5:5" x14ac:dyDescent="0.25">
      <c r="E651" s="67" t="str">
        <f>BUNDESLIGA!F718&amp;IF(OR(BUNDESLIGA!G718="",BUNDESLIGA!H718=""),"",IF(BUNDESLIGA!G718&gt;BUNDESLIGA!H718,"",IF(BUNDESLIGA!G718&lt;BUNDESLIGA!H718,"","")))</f>
        <v/>
      </c>
    </row>
    <row r="652" spans="5:5" x14ac:dyDescent="0.25">
      <c r="E652" s="67" t="str">
        <f>BUNDESLIGA!F719&amp;IF(OR(BUNDESLIGA!G719="",BUNDESLIGA!H719=""),"",IF(BUNDESLIGA!G719&gt;BUNDESLIGA!H719,"",IF(BUNDESLIGA!G719&lt;BUNDESLIGA!H719,"","")))</f>
        <v/>
      </c>
    </row>
    <row r="653" spans="5:5" x14ac:dyDescent="0.25">
      <c r="E653" s="67" t="str">
        <f>BUNDESLIGA!F720&amp;IF(OR(BUNDESLIGA!G720="",BUNDESLIGA!H720=""),"",IF(BUNDESLIGA!G720&gt;BUNDESLIGA!H720,"",IF(BUNDESLIGA!G720&lt;BUNDESLIGA!H720,"","")))</f>
        <v/>
      </c>
    </row>
    <row r="654" spans="5:5" x14ac:dyDescent="0.25">
      <c r="E654" s="67" t="str">
        <f>BUNDESLIGA!F721&amp;IF(OR(BUNDESLIGA!G721="",BUNDESLIGA!H721=""),"",IF(BUNDESLIGA!G721&gt;BUNDESLIGA!H721,"",IF(BUNDESLIGA!G721&lt;BUNDESLIGA!H721,"","")))</f>
        <v/>
      </c>
    </row>
    <row r="655" spans="5:5" x14ac:dyDescent="0.25">
      <c r="E655" s="67" t="str">
        <f>BUNDESLIGA!F722&amp;IF(OR(BUNDESLIGA!G722="",BUNDESLIGA!H722=""),"",IF(BUNDESLIGA!G722&gt;BUNDESLIGA!H722,"",IF(BUNDESLIGA!G722&lt;BUNDESLIGA!H722,"","")))</f>
        <v/>
      </c>
    </row>
    <row r="656" spans="5:5" x14ac:dyDescent="0.25">
      <c r="E656" s="67" t="str">
        <f>BUNDESLIGA!F723&amp;IF(OR(BUNDESLIGA!G723="",BUNDESLIGA!H723=""),"",IF(BUNDESLIGA!G723&gt;BUNDESLIGA!H723,"",IF(BUNDESLIGA!G723&lt;BUNDESLIGA!H723,"","")))</f>
        <v/>
      </c>
    </row>
    <row r="657" spans="5:5" x14ac:dyDescent="0.25">
      <c r="E657" s="67" t="str">
        <f>BUNDESLIGA!F724&amp;IF(OR(BUNDESLIGA!G724="",BUNDESLIGA!H724=""),"",IF(BUNDESLIGA!G724&gt;BUNDESLIGA!H724,"",IF(BUNDESLIGA!G724&lt;BUNDESLIGA!H724,"","")))</f>
        <v/>
      </c>
    </row>
    <row r="658" spans="5:5" x14ac:dyDescent="0.25">
      <c r="E658" s="67" t="str">
        <f>BUNDESLIGA!F725&amp;IF(OR(BUNDESLIGA!G725="",BUNDESLIGA!H725=""),"",IF(BUNDESLIGA!G725&gt;BUNDESLIGA!H725,"",IF(BUNDESLIGA!G725&lt;BUNDESLIGA!H725,"","")))</f>
        <v/>
      </c>
    </row>
    <row r="659" spans="5:5" x14ac:dyDescent="0.25">
      <c r="E659" s="67" t="str">
        <f>BUNDESLIGA!F726&amp;IF(OR(BUNDESLIGA!G726="",BUNDESLIGA!H726=""),"",IF(BUNDESLIGA!G726&gt;BUNDESLIGA!H726,"",IF(BUNDESLIGA!G726&lt;BUNDESLIGA!H726,"","")))</f>
        <v/>
      </c>
    </row>
    <row r="660" spans="5:5" x14ac:dyDescent="0.25">
      <c r="E660" s="67" t="str">
        <f>BUNDESLIGA!F727&amp;IF(OR(BUNDESLIGA!G727="",BUNDESLIGA!H727=""),"",IF(BUNDESLIGA!G727&gt;BUNDESLIGA!H727,"",IF(BUNDESLIGA!G727&lt;BUNDESLIGA!H727,"","")))</f>
        <v/>
      </c>
    </row>
    <row r="661" spans="5:5" x14ac:dyDescent="0.25">
      <c r="E661" s="67" t="str">
        <f>BUNDESLIGA!F728&amp;IF(OR(BUNDESLIGA!G728="",BUNDESLIGA!H728=""),"",IF(BUNDESLIGA!G728&gt;BUNDESLIGA!H728,"",IF(BUNDESLIGA!G728&lt;BUNDESLIGA!H728,"","")))</f>
        <v/>
      </c>
    </row>
    <row r="662" spans="5:5" x14ac:dyDescent="0.25">
      <c r="E662" s="67" t="str">
        <f>BUNDESLIGA!F729&amp;IF(OR(BUNDESLIGA!G729="",BUNDESLIGA!H729=""),"",IF(BUNDESLIGA!G729&gt;BUNDESLIGA!H729,"",IF(BUNDESLIGA!G729&lt;BUNDESLIGA!H729,"","")))</f>
        <v/>
      </c>
    </row>
    <row r="663" spans="5:5" x14ac:dyDescent="0.25">
      <c r="E663" s="67" t="str">
        <f>BUNDESLIGA!F730&amp;IF(OR(BUNDESLIGA!G730="",BUNDESLIGA!H730=""),"",IF(BUNDESLIGA!G730&gt;BUNDESLIGA!H730,"",IF(BUNDESLIGA!G730&lt;BUNDESLIGA!H730,"","")))</f>
        <v/>
      </c>
    </row>
    <row r="664" spans="5:5" x14ac:dyDescent="0.25">
      <c r="E664" s="67" t="str">
        <f>BUNDESLIGA!F731&amp;IF(OR(BUNDESLIGA!G731="",BUNDESLIGA!H731=""),"",IF(BUNDESLIGA!G731&gt;BUNDESLIGA!H731,"",IF(BUNDESLIGA!G731&lt;BUNDESLIGA!H731,"","")))</f>
        <v/>
      </c>
    </row>
    <row r="665" spans="5:5" x14ac:dyDescent="0.25">
      <c r="E665" s="67" t="str">
        <f>BUNDESLIGA!F732&amp;IF(OR(BUNDESLIGA!G732="",BUNDESLIGA!H732=""),"",IF(BUNDESLIGA!G732&gt;BUNDESLIGA!H732,"",IF(BUNDESLIGA!G732&lt;BUNDESLIGA!H732,"","")))</f>
        <v/>
      </c>
    </row>
    <row r="666" spans="5:5" x14ac:dyDescent="0.25">
      <c r="E666" s="67" t="str">
        <f>BUNDESLIGA!F733&amp;IF(OR(BUNDESLIGA!G733="",BUNDESLIGA!H733=""),"",IF(BUNDESLIGA!G733&gt;BUNDESLIGA!H733,"",IF(BUNDESLIGA!G733&lt;BUNDESLIGA!H733,"","")))</f>
        <v/>
      </c>
    </row>
    <row r="667" spans="5:5" x14ac:dyDescent="0.25">
      <c r="E667" s="67" t="str">
        <f>BUNDESLIGA!F734&amp;IF(OR(BUNDESLIGA!G734="",BUNDESLIGA!H734=""),"",IF(BUNDESLIGA!G734&gt;BUNDESLIGA!H734,"",IF(BUNDESLIGA!G734&lt;BUNDESLIGA!H734,"","")))</f>
        <v/>
      </c>
    </row>
    <row r="668" spans="5:5" x14ac:dyDescent="0.25">
      <c r="E668" s="67" t="str">
        <f>BUNDESLIGA!F735&amp;IF(OR(BUNDESLIGA!G735="",BUNDESLIGA!H735=""),"",IF(BUNDESLIGA!G735&gt;BUNDESLIGA!H735,"",IF(BUNDESLIGA!G735&lt;BUNDESLIGA!H735,"","")))</f>
        <v/>
      </c>
    </row>
    <row r="669" spans="5:5" x14ac:dyDescent="0.25">
      <c r="E669" s="67" t="str">
        <f>BUNDESLIGA!F736&amp;IF(OR(BUNDESLIGA!G736="",BUNDESLIGA!H736=""),"",IF(BUNDESLIGA!G736&gt;BUNDESLIGA!H736,"",IF(BUNDESLIGA!G736&lt;BUNDESLIGA!H736,"","")))</f>
        <v/>
      </c>
    </row>
    <row r="670" spans="5:5" x14ac:dyDescent="0.25">
      <c r="E670" s="67" t="str">
        <f>BUNDESLIGA!F737&amp;IF(OR(BUNDESLIGA!G737="",BUNDESLIGA!H737=""),"",IF(BUNDESLIGA!G737&gt;BUNDESLIGA!H737,"",IF(BUNDESLIGA!G737&lt;BUNDESLIGA!H737,"","")))</f>
        <v/>
      </c>
    </row>
    <row r="671" spans="5:5" x14ac:dyDescent="0.25">
      <c r="E671" s="67" t="str">
        <f>BUNDESLIGA!F738&amp;IF(OR(BUNDESLIGA!G738="",BUNDESLIGA!H738=""),"",IF(BUNDESLIGA!G738&gt;BUNDESLIGA!H738,"",IF(BUNDESLIGA!G738&lt;BUNDESLIGA!H738,"","")))</f>
        <v/>
      </c>
    </row>
    <row r="672" spans="5:5" x14ac:dyDescent="0.25">
      <c r="E672" s="67" t="str">
        <f>BUNDESLIGA!F739&amp;IF(OR(BUNDESLIGA!G739="",BUNDESLIGA!H739=""),"",IF(BUNDESLIGA!G739&gt;BUNDESLIGA!H739,"",IF(BUNDESLIGA!G739&lt;BUNDESLIGA!H739,"","")))</f>
        <v/>
      </c>
    </row>
    <row r="673" spans="5:5" x14ac:dyDescent="0.25">
      <c r="E673" s="67" t="str">
        <f>BUNDESLIGA!F740&amp;IF(OR(BUNDESLIGA!G740="",BUNDESLIGA!H740=""),"",IF(BUNDESLIGA!G740&gt;BUNDESLIGA!H740,"",IF(BUNDESLIGA!G740&lt;BUNDESLIGA!H740,"","")))</f>
        <v/>
      </c>
    </row>
    <row r="674" spans="5:5" x14ac:dyDescent="0.25">
      <c r="E674" s="67" t="str">
        <f>BUNDESLIGA!F741&amp;IF(OR(BUNDESLIGA!G741="",BUNDESLIGA!H741=""),"",IF(BUNDESLIGA!G741&gt;BUNDESLIGA!H741,"",IF(BUNDESLIGA!G741&lt;BUNDESLIGA!H741,"","")))</f>
        <v/>
      </c>
    </row>
    <row r="675" spans="5:5" x14ac:dyDescent="0.25">
      <c r="E675" s="67" t="str">
        <f>BUNDESLIGA!F742&amp;IF(OR(BUNDESLIGA!G742="",BUNDESLIGA!H742=""),"",IF(BUNDESLIGA!G742&gt;BUNDESLIGA!H742,"",IF(BUNDESLIGA!G742&lt;BUNDESLIGA!H742,"","")))</f>
        <v/>
      </c>
    </row>
    <row r="676" spans="5:5" x14ac:dyDescent="0.25">
      <c r="E676" s="67" t="str">
        <f>BUNDESLIGA!F743&amp;IF(OR(BUNDESLIGA!G743="",BUNDESLIGA!H743=""),"",IF(BUNDESLIGA!G743&gt;BUNDESLIGA!H743,"",IF(BUNDESLIGA!G743&lt;BUNDESLIGA!H743,"","")))</f>
        <v/>
      </c>
    </row>
    <row r="677" spans="5:5" x14ac:dyDescent="0.25">
      <c r="E677" s="67" t="str">
        <f>BUNDESLIGA!F744&amp;IF(OR(BUNDESLIGA!G744="",BUNDESLIGA!H744=""),"",IF(BUNDESLIGA!G744&gt;BUNDESLIGA!H744,"",IF(BUNDESLIGA!G744&lt;BUNDESLIGA!H744,"","")))</f>
        <v/>
      </c>
    </row>
    <row r="678" spans="5:5" x14ac:dyDescent="0.25">
      <c r="E678" s="67" t="str">
        <f>BUNDESLIGA!F745&amp;IF(OR(BUNDESLIGA!G745="",BUNDESLIGA!H745=""),"",IF(BUNDESLIGA!G745&gt;BUNDESLIGA!H745,"",IF(BUNDESLIGA!G745&lt;BUNDESLIGA!H745,"","")))</f>
        <v/>
      </c>
    </row>
    <row r="679" spans="5:5" x14ac:dyDescent="0.25">
      <c r="E679" s="67" t="str">
        <f>BUNDESLIGA!F746&amp;IF(OR(BUNDESLIGA!G746="",BUNDESLIGA!H746=""),"",IF(BUNDESLIGA!G746&gt;BUNDESLIGA!H746,"",IF(BUNDESLIGA!G746&lt;BUNDESLIGA!H746,"","")))</f>
        <v/>
      </c>
    </row>
    <row r="680" spans="5:5" x14ac:dyDescent="0.25">
      <c r="E680" s="67" t="str">
        <f>BUNDESLIGA!F747&amp;IF(OR(BUNDESLIGA!G747="",BUNDESLIGA!H747=""),"",IF(BUNDESLIGA!G747&gt;BUNDESLIGA!H747,"",IF(BUNDESLIGA!G747&lt;BUNDESLIGA!H747,"","")))</f>
        <v/>
      </c>
    </row>
    <row r="681" spans="5:5" x14ac:dyDescent="0.25">
      <c r="E681" s="67" t="str">
        <f>BUNDESLIGA!F748&amp;IF(OR(BUNDESLIGA!G748="",BUNDESLIGA!H748=""),"",IF(BUNDESLIGA!G748&gt;BUNDESLIGA!H748,"",IF(BUNDESLIGA!G748&lt;BUNDESLIGA!H748,"","")))</f>
        <v/>
      </c>
    </row>
    <row r="682" spans="5:5" x14ac:dyDescent="0.25">
      <c r="E682" s="67" t="str">
        <f>BUNDESLIGA!F749&amp;IF(OR(BUNDESLIGA!G749="",BUNDESLIGA!H749=""),"",IF(BUNDESLIGA!G749&gt;BUNDESLIGA!H749,"",IF(BUNDESLIGA!G749&lt;BUNDESLIGA!H749,"","")))</f>
        <v/>
      </c>
    </row>
    <row r="683" spans="5:5" x14ac:dyDescent="0.25">
      <c r="E683" s="67" t="str">
        <f>BUNDESLIGA!F750&amp;IF(OR(BUNDESLIGA!G750="",BUNDESLIGA!H750=""),"",IF(BUNDESLIGA!G750&gt;BUNDESLIGA!H750,"",IF(BUNDESLIGA!G750&lt;BUNDESLIGA!H750,"","")))</f>
        <v/>
      </c>
    </row>
    <row r="684" spans="5:5" x14ac:dyDescent="0.25">
      <c r="E684" s="67" t="str">
        <f>BUNDESLIGA!F751&amp;IF(OR(BUNDESLIGA!G751="",BUNDESLIGA!H751=""),"",IF(BUNDESLIGA!G751&gt;BUNDESLIGA!H751,"",IF(BUNDESLIGA!G751&lt;BUNDESLIGA!H751,"","")))</f>
        <v/>
      </c>
    </row>
    <row r="685" spans="5:5" x14ac:dyDescent="0.25">
      <c r="E685" s="67" t="str">
        <f>BUNDESLIGA!F752&amp;IF(OR(BUNDESLIGA!G752="",BUNDESLIGA!H752=""),"",IF(BUNDESLIGA!G752&gt;BUNDESLIGA!H752,"",IF(BUNDESLIGA!G752&lt;BUNDESLIGA!H752,"","")))</f>
        <v/>
      </c>
    </row>
    <row r="686" spans="5:5" x14ac:dyDescent="0.25">
      <c r="E686" s="67" t="str">
        <f>BUNDESLIGA!F753&amp;IF(OR(BUNDESLIGA!G753="",BUNDESLIGA!H753=""),"",IF(BUNDESLIGA!G753&gt;BUNDESLIGA!H753,"",IF(BUNDESLIGA!G753&lt;BUNDESLIGA!H753,"","")))</f>
        <v/>
      </c>
    </row>
    <row r="687" spans="5:5" x14ac:dyDescent="0.25">
      <c r="E687" s="67" t="str">
        <f>BUNDESLIGA!F754&amp;IF(OR(BUNDESLIGA!G754="",BUNDESLIGA!H754=""),"",IF(BUNDESLIGA!G754&gt;BUNDESLIGA!H754,"",IF(BUNDESLIGA!G754&lt;BUNDESLIGA!H754,"","")))</f>
        <v/>
      </c>
    </row>
    <row r="688" spans="5:5" x14ac:dyDescent="0.25">
      <c r="E688" s="67" t="str">
        <f>BUNDESLIGA!F755&amp;IF(OR(BUNDESLIGA!G755="",BUNDESLIGA!H755=""),"",IF(BUNDESLIGA!G755&gt;BUNDESLIGA!H755,"",IF(BUNDESLIGA!G755&lt;BUNDESLIGA!H755,"","")))</f>
        <v/>
      </c>
    </row>
    <row r="689" spans="5:5" x14ac:dyDescent="0.25">
      <c r="E689" s="67" t="str">
        <f>BUNDESLIGA!F756&amp;IF(OR(BUNDESLIGA!G756="",BUNDESLIGA!H756=""),"",IF(BUNDESLIGA!G756&gt;BUNDESLIGA!H756,"",IF(BUNDESLIGA!G756&lt;BUNDESLIGA!H756,"","")))</f>
        <v/>
      </c>
    </row>
    <row r="690" spans="5:5" x14ac:dyDescent="0.25">
      <c r="E690" s="67" t="str">
        <f>BUNDESLIGA!F757&amp;IF(OR(BUNDESLIGA!G757="",BUNDESLIGA!H757=""),"",IF(BUNDESLIGA!G757&gt;BUNDESLIGA!H757,"",IF(BUNDESLIGA!G757&lt;BUNDESLIGA!H757,"","")))</f>
        <v/>
      </c>
    </row>
    <row r="691" spans="5:5" x14ac:dyDescent="0.25">
      <c r="E691" s="67" t="str">
        <f>BUNDESLIGA!F758&amp;IF(OR(BUNDESLIGA!G758="",BUNDESLIGA!H758=""),"",IF(BUNDESLIGA!G758&gt;BUNDESLIGA!H758,"",IF(BUNDESLIGA!G758&lt;BUNDESLIGA!H758,"","")))</f>
        <v/>
      </c>
    </row>
    <row r="692" spans="5:5" x14ac:dyDescent="0.25">
      <c r="E692" s="67" t="str">
        <f>BUNDESLIGA!F759&amp;IF(OR(BUNDESLIGA!G759="",BUNDESLIGA!H759=""),"",IF(BUNDESLIGA!G759&gt;BUNDESLIGA!H759,"",IF(BUNDESLIGA!G759&lt;BUNDESLIGA!H759,"","")))</f>
        <v/>
      </c>
    </row>
    <row r="693" spans="5:5" x14ac:dyDescent="0.25">
      <c r="E693" s="67" t="str">
        <f>BUNDESLIGA!F760&amp;IF(OR(BUNDESLIGA!G760="",BUNDESLIGA!H760=""),"",IF(BUNDESLIGA!G760&gt;BUNDESLIGA!H760,"",IF(BUNDESLIGA!G760&lt;BUNDESLIGA!H760,"","")))</f>
        <v/>
      </c>
    </row>
    <row r="694" spans="5:5" x14ac:dyDescent="0.25">
      <c r="E694" s="67" t="str">
        <f>BUNDESLIGA!F761&amp;IF(OR(BUNDESLIGA!G761="",BUNDESLIGA!H761=""),"",IF(BUNDESLIGA!G761&gt;BUNDESLIGA!H761,"",IF(BUNDESLIGA!G761&lt;BUNDESLIGA!H761,"","")))</f>
        <v/>
      </c>
    </row>
    <row r="695" spans="5:5" x14ac:dyDescent="0.25">
      <c r="E695" s="67" t="str">
        <f>BUNDESLIGA!F762&amp;IF(OR(BUNDESLIGA!G762="",BUNDESLIGA!H762=""),"",IF(BUNDESLIGA!G762&gt;BUNDESLIGA!H762,"",IF(BUNDESLIGA!G762&lt;BUNDESLIGA!H762,"","")))</f>
        <v/>
      </c>
    </row>
    <row r="696" spans="5:5" x14ac:dyDescent="0.25">
      <c r="E696" s="67" t="str">
        <f>BUNDESLIGA!F763&amp;IF(OR(BUNDESLIGA!G763="",BUNDESLIGA!H763=""),"",IF(BUNDESLIGA!G763&gt;BUNDESLIGA!H763,"",IF(BUNDESLIGA!G763&lt;BUNDESLIGA!H763,"","")))</f>
        <v/>
      </c>
    </row>
    <row r="697" spans="5:5" x14ac:dyDescent="0.25">
      <c r="E697" s="67" t="str">
        <f>BUNDESLIGA!F764&amp;IF(OR(BUNDESLIGA!G764="",BUNDESLIGA!H764=""),"",IF(BUNDESLIGA!G764&gt;BUNDESLIGA!H764,"",IF(BUNDESLIGA!G764&lt;BUNDESLIGA!H764,"","")))</f>
        <v/>
      </c>
    </row>
    <row r="698" spans="5:5" x14ac:dyDescent="0.25">
      <c r="E698" s="67" t="str">
        <f>BUNDESLIGA!F765&amp;IF(OR(BUNDESLIGA!G765="",BUNDESLIGA!H765=""),"",IF(BUNDESLIGA!G765&gt;BUNDESLIGA!H765,"",IF(BUNDESLIGA!G765&lt;BUNDESLIGA!H765,"","")))</f>
        <v/>
      </c>
    </row>
    <row r="699" spans="5:5" x14ac:dyDescent="0.25">
      <c r="E699" s="67" t="str">
        <f>BUNDESLIGA!F766&amp;IF(OR(BUNDESLIGA!G766="",BUNDESLIGA!H766=""),"",IF(BUNDESLIGA!G766&gt;BUNDESLIGA!H766,"",IF(BUNDESLIGA!G766&lt;BUNDESLIGA!H766,"","")))</f>
        <v/>
      </c>
    </row>
    <row r="700" spans="5:5" x14ac:dyDescent="0.25">
      <c r="E700" s="67" t="str">
        <f>BUNDESLIGA!F767&amp;IF(OR(BUNDESLIGA!G767="",BUNDESLIGA!H767=""),"",IF(BUNDESLIGA!G767&gt;BUNDESLIGA!H767,"",IF(BUNDESLIGA!G767&lt;BUNDESLIGA!H767,"","")))</f>
        <v/>
      </c>
    </row>
    <row r="701" spans="5:5" x14ac:dyDescent="0.25">
      <c r="E701" s="67" t="str">
        <f>BUNDESLIGA!F768&amp;IF(OR(BUNDESLIGA!G768="",BUNDESLIGA!H768=""),"",IF(BUNDESLIGA!G768&gt;BUNDESLIGA!H768,"",IF(BUNDESLIGA!G768&lt;BUNDESLIGA!H768,"","")))</f>
        <v/>
      </c>
    </row>
    <row r="702" spans="5:5" x14ac:dyDescent="0.25">
      <c r="E702" s="67" t="str">
        <f>BUNDESLIGA!F769&amp;IF(OR(BUNDESLIGA!G769="",BUNDESLIGA!H769=""),"",IF(BUNDESLIGA!G769&gt;BUNDESLIGA!H769,"",IF(BUNDESLIGA!G769&lt;BUNDESLIGA!H769,"","")))</f>
        <v/>
      </c>
    </row>
    <row r="703" spans="5:5" x14ac:dyDescent="0.25">
      <c r="E703" s="67" t="str">
        <f>BUNDESLIGA!F770&amp;IF(OR(BUNDESLIGA!G770="",BUNDESLIGA!H770=""),"",IF(BUNDESLIGA!G770&gt;BUNDESLIGA!H770,"",IF(BUNDESLIGA!G770&lt;BUNDESLIGA!H770,"","")))</f>
        <v/>
      </c>
    </row>
    <row r="704" spans="5:5" x14ac:dyDescent="0.25">
      <c r="E704" s="67" t="str">
        <f>BUNDESLIGA!F771&amp;IF(OR(BUNDESLIGA!G771="",BUNDESLIGA!H771=""),"",IF(BUNDESLIGA!G771&gt;BUNDESLIGA!H771,"",IF(BUNDESLIGA!G771&lt;BUNDESLIGA!H771,"","")))</f>
        <v/>
      </c>
    </row>
    <row r="705" spans="5:5" x14ac:dyDescent="0.25">
      <c r="E705" s="67" t="str">
        <f>BUNDESLIGA!F772&amp;IF(OR(BUNDESLIGA!G772="",BUNDESLIGA!H772=""),"",IF(BUNDESLIGA!G772&gt;BUNDESLIGA!H772,"",IF(BUNDESLIGA!G772&lt;BUNDESLIGA!H772,"","")))</f>
        <v/>
      </c>
    </row>
    <row r="706" spans="5:5" x14ac:dyDescent="0.25">
      <c r="E706" s="67" t="str">
        <f>BUNDESLIGA!F773&amp;IF(OR(BUNDESLIGA!G773="",BUNDESLIGA!H773=""),"",IF(BUNDESLIGA!G773&gt;BUNDESLIGA!H773,"",IF(BUNDESLIGA!G773&lt;BUNDESLIGA!H773,"","")))</f>
        <v/>
      </c>
    </row>
    <row r="707" spans="5:5" x14ac:dyDescent="0.25">
      <c r="E707" s="67" t="str">
        <f>BUNDESLIGA!F774&amp;IF(OR(BUNDESLIGA!G774="",BUNDESLIGA!H774=""),"",IF(BUNDESLIGA!G774&gt;BUNDESLIGA!H774,"",IF(BUNDESLIGA!G774&lt;BUNDESLIGA!H774,"","")))</f>
        <v/>
      </c>
    </row>
    <row r="708" spans="5:5" x14ac:dyDescent="0.25">
      <c r="E708" s="67" t="str">
        <f>BUNDESLIGA!F775&amp;IF(OR(BUNDESLIGA!G775="",BUNDESLIGA!H775=""),"",IF(BUNDESLIGA!G775&gt;BUNDESLIGA!H775,"",IF(BUNDESLIGA!G775&lt;BUNDESLIGA!H775,"","")))</f>
        <v/>
      </c>
    </row>
    <row r="709" spans="5:5" x14ac:dyDescent="0.25">
      <c r="E709" s="67" t="str">
        <f>BUNDESLIGA!F776&amp;IF(OR(BUNDESLIGA!G776="",BUNDESLIGA!H776=""),"",IF(BUNDESLIGA!G776&gt;BUNDESLIGA!H776,"",IF(BUNDESLIGA!G776&lt;BUNDESLIGA!H776,"","")))</f>
        <v/>
      </c>
    </row>
    <row r="710" spans="5:5" x14ac:dyDescent="0.25">
      <c r="E710" s="67" t="str">
        <f>BUNDESLIGA!F777&amp;IF(OR(BUNDESLIGA!G777="",BUNDESLIGA!H777=""),"",IF(BUNDESLIGA!G777&gt;BUNDESLIGA!H777,"",IF(BUNDESLIGA!G777&lt;BUNDESLIGA!H777,"","")))</f>
        <v/>
      </c>
    </row>
    <row r="711" spans="5:5" x14ac:dyDescent="0.25">
      <c r="E711" s="67" t="str">
        <f>BUNDESLIGA!F778&amp;IF(OR(BUNDESLIGA!G778="",BUNDESLIGA!H778=""),"",IF(BUNDESLIGA!G778&gt;BUNDESLIGA!H778,"",IF(BUNDESLIGA!G778&lt;BUNDESLIGA!H778,"","")))</f>
        <v/>
      </c>
    </row>
    <row r="712" spans="5:5" x14ac:dyDescent="0.25">
      <c r="E712" s="67" t="str">
        <f>BUNDESLIGA!F779&amp;IF(OR(BUNDESLIGA!G779="",BUNDESLIGA!H779=""),"",IF(BUNDESLIGA!G779&gt;BUNDESLIGA!H779,"",IF(BUNDESLIGA!G779&lt;BUNDESLIGA!H779,"","")))</f>
        <v/>
      </c>
    </row>
    <row r="713" spans="5:5" x14ac:dyDescent="0.25">
      <c r="E713" s="67" t="str">
        <f>BUNDESLIGA!F780&amp;IF(OR(BUNDESLIGA!G780="",BUNDESLIGA!H780=""),"",IF(BUNDESLIGA!G780&gt;BUNDESLIGA!H780,"",IF(BUNDESLIGA!G780&lt;BUNDESLIGA!H780,"","")))</f>
        <v/>
      </c>
    </row>
    <row r="714" spans="5:5" x14ac:dyDescent="0.25">
      <c r="E714" s="67" t="str">
        <f>BUNDESLIGA!F781&amp;IF(OR(BUNDESLIGA!G781="",BUNDESLIGA!H781=""),"",IF(BUNDESLIGA!G781&gt;BUNDESLIGA!H781,"",IF(BUNDESLIGA!G781&lt;BUNDESLIGA!H781,"","")))</f>
        <v/>
      </c>
    </row>
    <row r="715" spans="5:5" x14ac:dyDescent="0.25">
      <c r="E715" s="67" t="str">
        <f>BUNDESLIGA!F782&amp;IF(OR(BUNDESLIGA!G782="",BUNDESLIGA!H782=""),"",IF(BUNDESLIGA!G782&gt;BUNDESLIGA!H782,"",IF(BUNDESLIGA!G782&lt;BUNDESLIGA!H782,"","")))</f>
        <v/>
      </c>
    </row>
    <row r="716" spans="5:5" x14ac:dyDescent="0.25">
      <c r="E716" s="67" t="str">
        <f>BUNDESLIGA!F783&amp;IF(OR(BUNDESLIGA!G783="",BUNDESLIGA!H783=""),"",IF(BUNDESLIGA!G783&gt;BUNDESLIGA!H783,"",IF(BUNDESLIGA!G783&lt;BUNDESLIGA!H783,"","")))</f>
        <v/>
      </c>
    </row>
    <row r="717" spans="5:5" x14ac:dyDescent="0.25">
      <c r="E717" s="67" t="str">
        <f>BUNDESLIGA!F784&amp;IF(OR(BUNDESLIGA!G784="",BUNDESLIGA!H784=""),"",IF(BUNDESLIGA!G784&gt;BUNDESLIGA!H784,"",IF(BUNDESLIGA!G784&lt;BUNDESLIGA!H784,"","")))</f>
        <v/>
      </c>
    </row>
    <row r="718" spans="5:5" x14ac:dyDescent="0.25">
      <c r="E718" s="67" t="str">
        <f>BUNDESLIGA!F785&amp;IF(OR(BUNDESLIGA!G785="",BUNDESLIGA!H785=""),"",IF(BUNDESLIGA!G785&gt;BUNDESLIGA!H785,"",IF(BUNDESLIGA!G785&lt;BUNDESLIGA!H785,"","")))</f>
        <v/>
      </c>
    </row>
    <row r="719" spans="5:5" x14ac:dyDescent="0.25">
      <c r="E719" s="67" t="str">
        <f>BUNDESLIGA!F786&amp;IF(OR(BUNDESLIGA!G786="",BUNDESLIGA!H786=""),"",IF(BUNDESLIGA!G786&gt;BUNDESLIGA!H786,"",IF(BUNDESLIGA!G786&lt;BUNDESLIGA!H786,"","")))</f>
        <v/>
      </c>
    </row>
    <row r="720" spans="5:5" x14ac:dyDescent="0.25">
      <c r="E720" s="67" t="str">
        <f>BUNDESLIGA!F787&amp;IF(OR(BUNDESLIGA!G787="",BUNDESLIGA!H787=""),"",IF(BUNDESLIGA!G787&gt;BUNDESLIGA!H787,"",IF(BUNDESLIGA!G787&lt;BUNDESLIGA!H787,"","")))</f>
        <v/>
      </c>
    </row>
    <row r="721" spans="5:5" x14ac:dyDescent="0.25">
      <c r="E721" s="67" t="str">
        <f>BUNDESLIGA!F788&amp;IF(OR(BUNDESLIGA!G788="",BUNDESLIGA!H788=""),"",IF(BUNDESLIGA!G788&gt;BUNDESLIGA!H788,"",IF(BUNDESLIGA!G788&lt;BUNDESLIGA!H788,"","")))</f>
        <v/>
      </c>
    </row>
    <row r="722" spans="5:5" x14ac:dyDescent="0.25">
      <c r="E722" s="67" t="str">
        <f>BUNDESLIGA!F789&amp;IF(OR(BUNDESLIGA!G789="",BUNDESLIGA!H789=""),"",IF(BUNDESLIGA!G789&gt;BUNDESLIGA!H789,"",IF(BUNDESLIGA!G789&lt;BUNDESLIGA!H789,"","")))</f>
        <v/>
      </c>
    </row>
    <row r="723" spans="5:5" x14ac:dyDescent="0.25">
      <c r="E723" s="67" t="str">
        <f>BUNDESLIGA!F790&amp;IF(OR(BUNDESLIGA!G790="",BUNDESLIGA!H790=""),"",IF(BUNDESLIGA!G790&gt;BUNDESLIGA!H790,"",IF(BUNDESLIGA!G790&lt;BUNDESLIGA!H790,"","")))</f>
        <v/>
      </c>
    </row>
    <row r="724" spans="5:5" x14ac:dyDescent="0.25">
      <c r="E724" s="67" t="str">
        <f>BUNDESLIGA!F791&amp;IF(OR(BUNDESLIGA!G791="",BUNDESLIGA!H791=""),"",IF(BUNDESLIGA!G791&gt;BUNDESLIGA!H791,"",IF(BUNDESLIGA!G791&lt;BUNDESLIGA!H791,"","")))</f>
        <v/>
      </c>
    </row>
    <row r="725" spans="5:5" x14ac:dyDescent="0.25">
      <c r="E725" s="67" t="str">
        <f>BUNDESLIGA!F792&amp;IF(OR(BUNDESLIGA!G792="",BUNDESLIGA!H792=""),"",IF(BUNDESLIGA!G792&gt;BUNDESLIGA!H792,"",IF(BUNDESLIGA!G792&lt;BUNDESLIGA!H792,"","")))</f>
        <v/>
      </c>
    </row>
    <row r="726" spans="5:5" x14ac:dyDescent="0.25">
      <c r="E726" s="67" t="str">
        <f>BUNDESLIGA!F793&amp;IF(OR(BUNDESLIGA!G793="",BUNDESLIGA!H793=""),"",IF(BUNDESLIGA!G793&gt;BUNDESLIGA!H793,"",IF(BUNDESLIGA!G793&lt;BUNDESLIGA!H793,"","")))</f>
        <v/>
      </c>
    </row>
    <row r="727" spans="5:5" x14ac:dyDescent="0.25">
      <c r="E727" s="67" t="str">
        <f>BUNDESLIGA!F794&amp;IF(OR(BUNDESLIGA!G794="",BUNDESLIGA!H794=""),"",IF(BUNDESLIGA!G794&gt;BUNDESLIGA!H794,"",IF(BUNDESLIGA!G794&lt;BUNDESLIGA!H794,"","")))</f>
        <v/>
      </c>
    </row>
    <row r="728" spans="5:5" x14ac:dyDescent="0.25">
      <c r="E728" s="67" t="str">
        <f>BUNDESLIGA!F795&amp;IF(OR(BUNDESLIGA!G795="",BUNDESLIGA!H795=""),"",IF(BUNDESLIGA!G795&gt;BUNDESLIGA!H795,"",IF(BUNDESLIGA!G795&lt;BUNDESLIGA!H795,"","")))</f>
        <v/>
      </c>
    </row>
    <row r="729" spans="5:5" x14ac:dyDescent="0.25">
      <c r="E729" s="67" t="str">
        <f>BUNDESLIGA!F796&amp;IF(OR(BUNDESLIGA!G796="",BUNDESLIGA!H796=""),"",IF(BUNDESLIGA!G796&gt;BUNDESLIGA!H796,"",IF(BUNDESLIGA!G796&lt;BUNDESLIGA!H796,"","")))</f>
        <v/>
      </c>
    </row>
    <row r="730" spans="5:5" x14ac:dyDescent="0.25">
      <c r="E730" s="67" t="str">
        <f>BUNDESLIGA!F797&amp;IF(OR(BUNDESLIGA!G797="",BUNDESLIGA!H797=""),"",IF(BUNDESLIGA!G797&gt;BUNDESLIGA!H797,"",IF(BUNDESLIGA!G797&lt;BUNDESLIGA!H797,"","")))</f>
        <v/>
      </c>
    </row>
    <row r="731" spans="5:5" x14ac:dyDescent="0.25">
      <c r="E731" s="67" t="str">
        <f>BUNDESLIGA!F798&amp;IF(OR(BUNDESLIGA!G798="",BUNDESLIGA!H798=""),"",IF(BUNDESLIGA!G798&gt;BUNDESLIGA!H798,"",IF(BUNDESLIGA!G798&lt;BUNDESLIGA!H798,"","")))</f>
        <v/>
      </c>
    </row>
    <row r="732" spans="5:5" x14ac:dyDescent="0.25">
      <c r="E732" s="67" t="str">
        <f>BUNDESLIGA!F799&amp;IF(OR(BUNDESLIGA!G799="",BUNDESLIGA!H799=""),"",IF(BUNDESLIGA!G799&gt;BUNDESLIGA!H799,"",IF(BUNDESLIGA!G799&lt;BUNDESLIGA!H799,"","")))</f>
        <v/>
      </c>
    </row>
    <row r="733" spans="5:5" x14ac:dyDescent="0.25">
      <c r="E733" s="67" t="str">
        <f>BUNDESLIGA!F800&amp;IF(OR(BUNDESLIGA!G800="",BUNDESLIGA!H800=""),"",IF(BUNDESLIGA!G800&gt;BUNDESLIGA!H800,"",IF(BUNDESLIGA!G800&lt;BUNDESLIGA!H800,"","")))</f>
        <v/>
      </c>
    </row>
    <row r="734" spans="5:5" x14ac:dyDescent="0.25">
      <c r="E734" s="67" t="str">
        <f>BUNDESLIGA!F801&amp;IF(OR(BUNDESLIGA!G801="",BUNDESLIGA!H801=""),"",IF(BUNDESLIGA!G801&gt;BUNDESLIGA!H801,"",IF(BUNDESLIGA!G801&lt;BUNDESLIGA!H801,"","")))</f>
        <v/>
      </c>
    </row>
    <row r="735" spans="5:5" x14ac:dyDescent="0.25">
      <c r="E735" s="67" t="str">
        <f>BUNDESLIGA!F802&amp;IF(OR(BUNDESLIGA!G802="",BUNDESLIGA!H802=""),"",IF(BUNDESLIGA!G802&gt;BUNDESLIGA!H802,"",IF(BUNDESLIGA!G802&lt;BUNDESLIGA!H802,"","")))</f>
        <v/>
      </c>
    </row>
    <row r="736" spans="5:5" x14ac:dyDescent="0.25">
      <c r="E736" s="67" t="str">
        <f>BUNDESLIGA!F803&amp;IF(OR(BUNDESLIGA!G803="",BUNDESLIGA!H803=""),"",IF(BUNDESLIGA!G803&gt;BUNDESLIGA!H803,"",IF(BUNDESLIGA!G803&lt;BUNDESLIGA!H803,"","")))</f>
        <v/>
      </c>
    </row>
    <row r="737" spans="5:5" x14ac:dyDescent="0.25">
      <c r="E737" s="67" t="str">
        <f>BUNDESLIGA!F804&amp;IF(OR(BUNDESLIGA!G804="",BUNDESLIGA!H804=""),"",IF(BUNDESLIGA!G804&gt;BUNDESLIGA!H804,"",IF(BUNDESLIGA!G804&lt;BUNDESLIGA!H804,"","")))</f>
        <v/>
      </c>
    </row>
    <row r="738" spans="5:5" x14ac:dyDescent="0.25">
      <c r="E738" s="67" t="str">
        <f>BUNDESLIGA!F805&amp;IF(OR(BUNDESLIGA!G805="",BUNDESLIGA!H805=""),"",IF(BUNDESLIGA!G805&gt;BUNDESLIGA!H805,"",IF(BUNDESLIGA!G805&lt;BUNDESLIGA!H805,"","")))</f>
        <v/>
      </c>
    </row>
    <row r="739" spans="5:5" x14ac:dyDescent="0.25">
      <c r="E739" s="67" t="str">
        <f>BUNDESLIGA!F806&amp;IF(OR(BUNDESLIGA!G806="",BUNDESLIGA!H806=""),"",IF(BUNDESLIGA!G806&gt;BUNDESLIGA!H806,"",IF(BUNDESLIGA!G806&lt;BUNDESLIGA!H806,"","")))</f>
        <v/>
      </c>
    </row>
    <row r="740" spans="5:5" x14ac:dyDescent="0.25">
      <c r="E740" s="67" t="str">
        <f>BUNDESLIGA!F807&amp;IF(OR(BUNDESLIGA!G807="",BUNDESLIGA!H807=""),"",IF(BUNDESLIGA!G807&gt;BUNDESLIGA!H807,"",IF(BUNDESLIGA!G807&lt;BUNDESLIGA!H807,"","")))</f>
        <v/>
      </c>
    </row>
    <row r="741" spans="5:5" x14ac:dyDescent="0.25">
      <c r="E741" s="67" t="str">
        <f>BUNDESLIGA!F808&amp;IF(OR(BUNDESLIGA!G808="",BUNDESLIGA!H808=""),"",IF(BUNDESLIGA!G808&gt;BUNDESLIGA!H808,"",IF(BUNDESLIGA!G808&lt;BUNDESLIGA!H808,"","")))</f>
        <v/>
      </c>
    </row>
    <row r="742" spans="5:5" x14ac:dyDescent="0.25">
      <c r="E742" s="67" t="str">
        <f>BUNDESLIGA!F809&amp;IF(OR(BUNDESLIGA!G809="",BUNDESLIGA!H809=""),"",IF(BUNDESLIGA!G809&gt;BUNDESLIGA!H809,"",IF(BUNDESLIGA!G809&lt;BUNDESLIGA!H809,"","")))</f>
        <v/>
      </c>
    </row>
    <row r="743" spans="5:5" x14ac:dyDescent="0.25">
      <c r="E743" s="67" t="str">
        <f>BUNDESLIGA!F810&amp;IF(OR(BUNDESLIGA!G810="",BUNDESLIGA!H810=""),"",IF(BUNDESLIGA!G810&gt;BUNDESLIGA!H810,"",IF(BUNDESLIGA!G810&lt;BUNDESLIGA!H810,"","")))</f>
        <v/>
      </c>
    </row>
    <row r="744" spans="5:5" x14ac:dyDescent="0.25">
      <c r="E744" s="67" t="str">
        <f>BUNDESLIGA!F811&amp;IF(OR(BUNDESLIGA!G811="",BUNDESLIGA!H811=""),"",IF(BUNDESLIGA!G811&gt;BUNDESLIGA!H811,"",IF(BUNDESLIGA!G811&lt;BUNDESLIGA!H811,"","")))</f>
        <v/>
      </c>
    </row>
    <row r="745" spans="5:5" x14ac:dyDescent="0.25">
      <c r="E745" s="67" t="str">
        <f>BUNDESLIGA!F812&amp;IF(OR(BUNDESLIGA!G812="",BUNDESLIGA!H812=""),"",IF(BUNDESLIGA!G812&gt;BUNDESLIGA!H812,"",IF(BUNDESLIGA!G812&lt;BUNDESLIGA!H812,"","")))</f>
        <v/>
      </c>
    </row>
    <row r="746" spans="5:5" x14ac:dyDescent="0.25">
      <c r="E746" s="67" t="str">
        <f>BUNDESLIGA!F813&amp;IF(OR(BUNDESLIGA!G813="",BUNDESLIGA!H813=""),"",IF(BUNDESLIGA!G813&gt;BUNDESLIGA!H813,"",IF(BUNDESLIGA!G813&lt;BUNDESLIGA!H813,"","")))</f>
        <v/>
      </c>
    </row>
    <row r="747" spans="5:5" x14ac:dyDescent="0.25">
      <c r="E747" s="67" t="str">
        <f>BUNDESLIGA!F814&amp;IF(OR(BUNDESLIGA!G814="",BUNDESLIGA!H814=""),"",IF(BUNDESLIGA!G814&gt;BUNDESLIGA!H814,"",IF(BUNDESLIGA!G814&lt;BUNDESLIGA!H814,"","")))</f>
        <v/>
      </c>
    </row>
    <row r="748" spans="5:5" x14ac:dyDescent="0.25">
      <c r="E748" s="67" t="str">
        <f>BUNDESLIGA!F815&amp;IF(OR(BUNDESLIGA!G815="",BUNDESLIGA!H815=""),"",IF(BUNDESLIGA!G815&gt;BUNDESLIGA!H815,"",IF(BUNDESLIGA!G815&lt;BUNDESLIGA!H815,"","")))</f>
        <v/>
      </c>
    </row>
    <row r="749" spans="5:5" x14ac:dyDescent="0.25">
      <c r="E749" s="67" t="str">
        <f>BUNDESLIGA!F816&amp;IF(OR(BUNDESLIGA!G816="",BUNDESLIGA!H816=""),"",IF(BUNDESLIGA!G816&gt;BUNDESLIGA!H816,"",IF(BUNDESLIGA!G816&lt;BUNDESLIGA!H816,"","")))</f>
        <v/>
      </c>
    </row>
    <row r="750" spans="5:5" x14ac:dyDescent="0.25">
      <c r="E750" s="67" t="str">
        <f>BUNDESLIGA!F817&amp;IF(OR(BUNDESLIGA!G817="",BUNDESLIGA!H817=""),"",IF(BUNDESLIGA!G817&gt;BUNDESLIGA!H817,"",IF(BUNDESLIGA!G817&lt;BUNDESLIGA!H817,"","")))</f>
        <v/>
      </c>
    </row>
    <row r="751" spans="5:5" x14ac:dyDescent="0.25">
      <c r="E751" s="67" t="str">
        <f>BUNDESLIGA!F818&amp;IF(OR(BUNDESLIGA!G818="",BUNDESLIGA!H818=""),"",IF(BUNDESLIGA!G818&gt;BUNDESLIGA!H818,"",IF(BUNDESLIGA!G818&lt;BUNDESLIGA!H818,"","")))</f>
        <v/>
      </c>
    </row>
    <row r="752" spans="5:5" x14ac:dyDescent="0.25">
      <c r="E752" s="67" t="str">
        <f>BUNDESLIGA!F819&amp;IF(OR(BUNDESLIGA!G819="",BUNDESLIGA!H819=""),"",IF(BUNDESLIGA!G819&gt;BUNDESLIGA!H819,"",IF(BUNDESLIGA!G819&lt;BUNDESLIGA!H819,"","")))</f>
        <v/>
      </c>
    </row>
    <row r="753" spans="5:5" x14ac:dyDescent="0.25">
      <c r="E753" s="67" t="str">
        <f>BUNDESLIGA!F820&amp;IF(OR(BUNDESLIGA!G820="",BUNDESLIGA!H820=""),"",IF(BUNDESLIGA!G820&gt;BUNDESLIGA!H820,"",IF(BUNDESLIGA!G820&lt;BUNDESLIGA!H820,"","")))</f>
        <v/>
      </c>
    </row>
    <row r="754" spans="5:5" x14ac:dyDescent="0.25">
      <c r="E754" s="67" t="str">
        <f>BUNDESLIGA!F821&amp;IF(OR(BUNDESLIGA!G821="",BUNDESLIGA!H821=""),"",IF(BUNDESLIGA!G821&gt;BUNDESLIGA!H821,"",IF(BUNDESLIGA!G821&lt;BUNDESLIGA!H821,"","")))</f>
        <v/>
      </c>
    </row>
    <row r="755" spans="5:5" x14ac:dyDescent="0.25">
      <c r="E755" s="67" t="str">
        <f>BUNDESLIGA!F822&amp;IF(OR(BUNDESLIGA!G822="",BUNDESLIGA!H822=""),"",IF(BUNDESLIGA!G822&gt;BUNDESLIGA!H822,"",IF(BUNDESLIGA!G822&lt;BUNDESLIGA!H822,"","")))</f>
        <v/>
      </c>
    </row>
    <row r="756" spans="5:5" x14ac:dyDescent="0.25">
      <c r="E756" s="67" t="str">
        <f>BUNDESLIGA!F823&amp;IF(OR(BUNDESLIGA!G823="",BUNDESLIGA!H823=""),"",IF(BUNDESLIGA!G823&gt;BUNDESLIGA!H823,"",IF(BUNDESLIGA!G823&lt;BUNDESLIGA!H823,"","")))</f>
        <v/>
      </c>
    </row>
    <row r="757" spans="5:5" x14ac:dyDescent="0.25">
      <c r="E757" s="67" t="str">
        <f>BUNDESLIGA!F824&amp;IF(OR(BUNDESLIGA!G824="",BUNDESLIGA!H824=""),"",IF(BUNDESLIGA!G824&gt;BUNDESLIGA!H824,"",IF(BUNDESLIGA!G824&lt;BUNDESLIGA!H824,"","")))</f>
        <v/>
      </c>
    </row>
    <row r="758" spans="5:5" x14ac:dyDescent="0.25">
      <c r="E758" s="67" t="str">
        <f>BUNDESLIGA!F825&amp;IF(OR(BUNDESLIGA!G825="",BUNDESLIGA!H825=""),"",IF(BUNDESLIGA!G825&gt;BUNDESLIGA!H825,"",IF(BUNDESLIGA!G825&lt;BUNDESLIGA!H825,"","")))</f>
        <v/>
      </c>
    </row>
    <row r="759" spans="5:5" x14ac:dyDescent="0.25">
      <c r="E759" s="67" t="str">
        <f>BUNDESLIGA!F826&amp;IF(OR(BUNDESLIGA!G826="",BUNDESLIGA!H826=""),"",IF(BUNDESLIGA!G826&gt;BUNDESLIGA!H826,"",IF(BUNDESLIGA!G826&lt;BUNDESLIGA!H826,"","")))</f>
        <v/>
      </c>
    </row>
    <row r="760" spans="5:5" x14ac:dyDescent="0.25">
      <c r="E760" s="67" t="str">
        <f>BUNDESLIGA!F827&amp;IF(OR(BUNDESLIGA!G827="",BUNDESLIGA!H827=""),"",IF(BUNDESLIGA!G827&gt;BUNDESLIGA!H827,"",IF(BUNDESLIGA!G827&lt;BUNDESLIGA!H827,"","")))</f>
        <v/>
      </c>
    </row>
    <row r="761" spans="5:5" x14ac:dyDescent="0.25">
      <c r="E761" s="67" t="str">
        <f>BUNDESLIGA!F828&amp;IF(OR(BUNDESLIGA!G828="",BUNDESLIGA!H828=""),"",IF(BUNDESLIGA!G828&gt;BUNDESLIGA!H828,"",IF(BUNDESLIGA!G828&lt;BUNDESLIGA!H828,"","")))</f>
        <v/>
      </c>
    </row>
    <row r="762" spans="5:5" x14ac:dyDescent="0.25">
      <c r="E762" s="67" t="str">
        <f>BUNDESLIGA!F829&amp;IF(OR(BUNDESLIGA!G829="",BUNDESLIGA!H829=""),"",IF(BUNDESLIGA!G829&gt;BUNDESLIGA!H829,"",IF(BUNDESLIGA!G829&lt;BUNDESLIGA!H829,"","")))</f>
        <v/>
      </c>
    </row>
    <row r="763" spans="5:5" x14ac:dyDescent="0.25">
      <c r="E763" s="67" t="str">
        <f>BUNDESLIGA!F830&amp;IF(OR(BUNDESLIGA!G830="",BUNDESLIGA!H830=""),"",IF(BUNDESLIGA!G830&gt;BUNDESLIGA!H830,"",IF(BUNDESLIGA!G830&lt;BUNDESLIGA!H830,"","")))</f>
        <v/>
      </c>
    </row>
    <row r="764" spans="5:5" x14ac:dyDescent="0.25">
      <c r="E764" s="67" t="str">
        <f>BUNDESLIGA!F831&amp;IF(OR(BUNDESLIGA!G831="",BUNDESLIGA!H831=""),"",IF(BUNDESLIGA!G831&gt;BUNDESLIGA!H831,"",IF(BUNDESLIGA!G831&lt;BUNDESLIGA!H831,"","")))</f>
        <v/>
      </c>
    </row>
    <row r="765" spans="5:5" x14ac:dyDescent="0.25">
      <c r="E765" s="67" t="str">
        <f>BUNDESLIGA!F832&amp;IF(OR(BUNDESLIGA!G832="",BUNDESLIGA!H832=""),"",IF(BUNDESLIGA!G832&gt;BUNDESLIGA!H832,"",IF(BUNDESLIGA!G832&lt;BUNDESLIGA!H832,"","")))</f>
        <v/>
      </c>
    </row>
    <row r="766" spans="5:5" x14ac:dyDescent="0.25">
      <c r="E766" s="67" t="str">
        <f>BUNDESLIGA!F833&amp;IF(OR(BUNDESLIGA!G833="",BUNDESLIGA!H833=""),"",IF(BUNDESLIGA!G833&gt;BUNDESLIGA!H833,"",IF(BUNDESLIGA!G833&lt;BUNDESLIGA!H833,"","")))</f>
        <v/>
      </c>
    </row>
    <row r="767" spans="5:5" x14ac:dyDescent="0.25">
      <c r="E767" s="67" t="str">
        <f>BUNDESLIGA!F834&amp;IF(OR(BUNDESLIGA!G834="",BUNDESLIGA!H834=""),"",IF(BUNDESLIGA!G834&gt;BUNDESLIGA!H834,"",IF(BUNDESLIGA!G834&lt;BUNDESLIGA!H834,"","")))</f>
        <v/>
      </c>
    </row>
    <row r="768" spans="5:5" x14ac:dyDescent="0.25">
      <c r="E768" s="67" t="str">
        <f>BUNDESLIGA!F835&amp;IF(OR(BUNDESLIGA!G835="",BUNDESLIGA!H835=""),"",IF(BUNDESLIGA!G835&gt;BUNDESLIGA!H835,"",IF(BUNDESLIGA!G835&lt;BUNDESLIGA!H835,"","")))</f>
        <v/>
      </c>
    </row>
    <row r="769" spans="5:5" x14ac:dyDescent="0.25">
      <c r="E769" s="67" t="str">
        <f>BUNDESLIGA!F836&amp;IF(OR(BUNDESLIGA!G836="",BUNDESLIGA!H836=""),"",IF(BUNDESLIGA!G836&gt;BUNDESLIGA!H836,"",IF(BUNDESLIGA!G836&lt;BUNDESLIGA!H836,"","")))</f>
        <v/>
      </c>
    </row>
    <row r="770" spans="5:5" x14ac:dyDescent="0.25">
      <c r="E770" s="67" t="str">
        <f>BUNDESLIGA!F837&amp;IF(OR(BUNDESLIGA!G837="",BUNDESLIGA!H837=""),"",IF(BUNDESLIGA!G837&gt;BUNDESLIGA!H837,"",IF(BUNDESLIGA!G837&lt;BUNDESLIGA!H837,"","")))</f>
        <v/>
      </c>
    </row>
    <row r="771" spans="5:5" x14ac:dyDescent="0.25">
      <c r="E771" s="67" t="str">
        <f>BUNDESLIGA!F838&amp;IF(OR(BUNDESLIGA!G838="",BUNDESLIGA!H838=""),"",IF(BUNDESLIGA!G838&gt;BUNDESLIGA!H838,"",IF(BUNDESLIGA!G838&lt;BUNDESLIGA!H838,"","")))</f>
        <v/>
      </c>
    </row>
    <row r="772" spans="5:5" x14ac:dyDescent="0.25">
      <c r="E772" s="67" t="str">
        <f>BUNDESLIGA!F839&amp;IF(OR(BUNDESLIGA!G839="",BUNDESLIGA!H839=""),"",IF(BUNDESLIGA!G839&gt;BUNDESLIGA!H839,"",IF(BUNDESLIGA!G839&lt;BUNDESLIGA!H839,"","")))</f>
        <v/>
      </c>
    </row>
    <row r="773" spans="5:5" x14ac:dyDescent="0.25">
      <c r="E773" s="67" t="str">
        <f>BUNDESLIGA!F840&amp;IF(OR(BUNDESLIGA!G840="",BUNDESLIGA!H840=""),"",IF(BUNDESLIGA!G840&gt;BUNDESLIGA!H840,"",IF(BUNDESLIGA!G840&lt;BUNDESLIGA!H840,"","")))</f>
        <v/>
      </c>
    </row>
    <row r="774" spans="5:5" x14ac:dyDescent="0.25">
      <c r="E774" s="67" t="str">
        <f>BUNDESLIGA!F841&amp;IF(OR(BUNDESLIGA!G841="",BUNDESLIGA!H841=""),"",IF(BUNDESLIGA!G841&gt;BUNDESLIGA!H841,"",IF(BUNDESLIGA!G841&lt;BUNDESLIGA!H841,"","")))</f>
        <v/>
      </c>
    </row>
    <row r="775" spans="5:5" x14ac:dyDescent="0.25">
      <c r="E775" s="67" t="str">
        <f>BUNDESLIGA!F842&amp;IF(OR(BUNDESLIGA!G842="",BUNDESLIGA!H842=""),"",IF(BUNDESLIGA!G842&gt;BUNDESLIGA!H842,"",IF(BUNDESLIGA!G842&lt;BUNDESLIGA!H842,"","")))</f>
        <v/>
      </c>
    </row>
    <row r="776" spans="5:5" x14ac:dyDescent="0.25">
      <c r="E776" s="67" t="str">
        <f>BUNDESLIGA!F843&amp;IF(OR(BUNDESLIGA!G843="",BUNDESLIGA!H843=""),"",IF(BUNDESLIGA!G843&gt;BUNDESLIGA!H843,"",IF(BUNDESLIGA!G843&lt;BUNDESLIGA!H843,"","")))</f>
        <v/>
      </c>
    </row>
    <row r="777" spans="5:5" x14ac:dyDescent="0.25">
      <c r="E777" s="67" t="str">
        <f>BUNDESLIGA!F844&amp;IF(OR(BUNDESLIGA!G844="",BUNDESLIGA!H844=""),"",IF(BUNDESLIGA!G844&gt;BUNDESLIGA!H844,"",IF(BUNDESLIGA!G844&lt;BUNDESLIGA!H844,"","")))</f>
        <v/>
      </c>
    </row>
    <row r="778" spans="5:5" x14ac:dyDescent="0.25">
      <c r="E778" s="67" t="str">
        <f>BUNDESLIGA!F845&amp;IF(OR(BUNDESLIGA!G845="",BUNDESLIGA!H845=""),"",IF(BUNDESLIGA!G845&gt;BUNDESLIGA!H845,"",IF(BUNDESLIGA!G845&lt;BUNDESLIGA!H845,"","")))</f>
        <v/>
      </c>
    </row>
    <row r="779" spans="5:5" x14ac:dyDescent="0.25">
      <c r="E779" s="67" t="str">
        <f>BUNDESLIGA!F846&amp;IF(OR(BUNDESLIGA!G846="",BUNDESLIGA!H846=""),"",IF(BUNDESLIGA!G846&gt;BUNDESLIGA!H846,"",IF(BUNDESLIGA!G846&lt;BUNDESLIGA!H846,"","")))</f>
        <v/>
      </c>
    </row>
    <row r="780" spans="5:5" x14ac:dyDescent="0.25">
      <c r="E780" s="67" t="str">
        <f>BUNDESLIGA!F847&amp;IF(OR(BUNDESLIGA!G847="",BUNDESLIGA!H847=""),"",IF(BUNDESLIGA!G847&gt;BUNDESLIGA!H847,"",IF(BUNDESLIGA!G847&lt;BUNDESLIGA!H847,"","")))</f>
        <v/>
      </c>
    </row>
    <row r="781" spans="5:5" x14ac:dyDescent="0.25">
      <c r="E781" s="67" t="str">
        <f>BUNDESLIGA!F848&amp;IF(OR(BUNDESLIGA!G848="",BUNDESLIGA!H848=""),"",IF(BUNDESLIGA!G848&gt;BUNDESLIGA!H848,"",IF(BUNDESLIGA!G848&lt;BUNDESLIGA!H848,"","")))</f>
        <v/>
      </c>
    </row>
    <row r="782" spans="5:5" x14ac:dyDescent="0.25">
      <c r="E782" s="67" t="str">
        <f>BUNDESLIGA!F849&amp;IF(OR(BUNDESLIGA!G849="",BUNDESLIGA!H849=""),"",IF(BUNDESLIGA!G849&gt;BUNDESLIGA!H849,"",IF(BUNDESLIGA!G849&lt;BUNDESLIGA!H849,"","")))</f>
        <v/>
      </c>
    </row>
    <row r="783" spans="5:5" x14ac:dyDescent="0.25">
      <c r="E783" s="67" t="str">
        <f>BUNDESLIGA!F850&amp;IF(OR(BUNDESLIGA!G850="",BUNDESLIGA!H850=""),"",IF(BUNDESLIGA!G850&gt;BUNDESLIGA!H850,"",IF(BUNDESLIGA!G850&lt;BUNDESLIGA!H850,"","")))</f>
        <v/>
      </c>
    </row>
    <row r="784" spans="5:5" x14ac:dyDescent="0.25">
      <c r="E784" s="67" t="str">
        <f>BUNDESLIGA!F851&amp;IF(OR(BUNDESLIGA!G851="",BUNDESLIGA!H851=""),"",IF(BUNDESLIGA!G851&gt;BUNDESLIGA!H851,"",IF(BUNDESLIGA!G851&lt;BUNDESLIGA!H851,"","")))</f>
        <v/>
      </c>
    </row>
    <row r="785" spans="5:5" x14ac:dyDescent="0.25">
      <c r="E785" s="67" t="str">
        <f>BUNDESLIGA!F852&amp;IF(OR(BUNDESLIGA!G852="",BUNDESLIGA!H852=""),"",IF(BUNDESLIGA!G852&gt;BUNDESLIGA!H852,"",IF(BUNDESLIGA!G852&lt;BUNDESLIGA!H852,"","")))</f>
        <v/>
      </c>
    </row>
    <row r="786" spans="5:5" x14ac:dyDescent="0.25">
      <c r="E786" s="67" t="str">
        <f>BUNDESLIGA!F853&amp;IF(OR(BUNDESLIGA!G853="",BUNDESLIGA!H853=""),"",IF(BUNDESLIGA!G853&gt;BUNDESLIGA!H853,"",IF(BUNDESLIGA!G853&lt;BUNDESLIGA!H853,"","")))</f>
        <v/>
      </c>
    </row>
    <row r="787" spans="5:5" x14ac:dyDescent="0.25">
      <c r="E787" s="67" t="str">
        <f>BUNDESLIGA!F854&amp;IF(OR(BUNDESLIGA!G854="",BUNDESLIGA!H854=""),"",IF(BUNDESLIGA!G854&gt;BUNDESLIGA!H854,"",IF(BUNDESLIGA!G854&lt;BUNDESLIGA!H854,"","")))</f>
        <v/>
      </c>
    </row>
    <row r="788" spans="5:5" x14ac:dyDescent="0.25">
      <c r="E788" s="67" t="str">
        <f>BUNDESLIGA!F855&amp;IF(OR(BUNDESLIGA!G855="",BUNDESLIGA!H855=""),"",IF(BUNDESLIGA!G855&gt;BUNDESLIGA!H855,"",IF(BUNDESLIGA!G855&lt;BUNDESLIGA!H855,"","")))</f>
        <v/>
      </c>
    </row>
    <row r="789" spans="5:5" x14ac:dyDescent="0.25">
      <c r="E789" s="67" t="str">
        <f>BUNDESLIGA!F856&amp;IF(OR(BUNDESLIGA!G856="",BUNDESLIGA!H856=""),"",IF(BUNDESLIGA!G856&gt;BUNDESLIGA!H856,"",IF(BUNDESLIGA!G856&lt;BUNDESLIGA!H856,"","")))</f>
        <v/>
      </c>
    </row>
    <row r="790" spans="5:5" x14ac:dyDescent="0.25">
      <c r="E790" s="67" t="str">
        <f>BUNDESLIGA!F857&amp;IF(OR(BUNDESLIGA!G857="",BUNDESLIGA!H857=""),"",IF(BUNDESLIGA!G857&gt;BUNDESLIGA!H857,"",IF(BUNDESLIGA!G857&lt;BUNDESLIGA!H857,"","")))</f>
        <v/>
      </c>
    </row>
    <row r="791" spans="5:5" x14ac:dyDescent="0.25">
      <c r="E791" s="67" t="str">
        <f>BUNDESLIGA!F858&amp;IF(OR(BUNDESLIGA!G858="",BUNDESLIGA!H858=""),"",IF(BUNDESLIGA!G858&gt;BUNDESLIGA!H858,"",IF(BUNDESLIGA!G858&lt;BUNDESLIGA!H858,"","")))</f>
        <v/>
      </c>
    </row>
    <row r="792" spans="5:5" x14ac:dyDescent="0.25">
      <c r="E792" s="67" t="str">
        <f>BUNDESLIGA!F859&amp;IF(OR(BUNDESLIGA!G859="",BUNDESLIGA!H859=""),"",IF(BUNDESLIGA!G859&gt;BUNDESLIGA!H859,"",IF(BUNDESLIGA!G859&lt;BUNDESLIGA!H859,"","")))</f>
        <v/>
      </c>
    </row>
    <row r="793" spans="5:5" x14ac:dyDescent="0.25">
      <c r="E793" s="67" t="str">
        <f>BUNDESLIGA!F860&amp;IF(OR(BUNDESLIGA!G860="",BUNDESLIGA!H860=""),"",IF(BUNDESLIGA!G860&gt;BUNDESLIGA!H860,"",IF(BUNDESLIGA!G860&lt;BUNDESLIGA!H860,"","")))</f>
        <v/>
      </c>
    </row>
    <row r="794" spans="5:5" x14ac:dyDescent="0.25">
      <c r="E794" s="67" t="str">
        <f>BUNDESLIGA!F861&amp;IF(OR(BUNDESLIGA!G861="",BUNDESLIGA!H861=""),"",IF(BUNDESLIGA!G861&gt;BUNDESLIGA!H861,"",IF(BUNDESLIGA!G861&lt;BUNDESLIGA!H861,"","")))</f>
        <v/>
      </c>
    </row>
    <row r="795" spans="5:5" x14ac:dyDescent="0.25">
      <c r="E795" s="67" t="str">
        <f>BUNDESLIGA!F862&amp;IF(OR(BUNDESLIGA!G862="",BUNDESLIGA!H862=""),"",IF(BUNDESLIGA!G862&gt;BUNDESLIGA!H862,"",IF(BUNDESLIGA!G862&lt;BUNDESLIGA!H862,"","")))</f>
        <v/>
      </c>
    </row>
    <row r="796" spans="5:5" x14ac:dyDescent="0.25">
      <c r="E796" s="67" t="str">
        <f>BUNDESLIGA!F863&amp;IF(OR(BUNDESLIGA!G863="",BUNDESLIGA!H863=""),"",IF(BUNDESLIGA!G863&gt;BUNDESLIGA!H863,"",IF(BUNDESLIGA!G863&lt;BUNDESLIGA!H863,"","")))</f>
        <v/>
      </c>
    </row>
    <row r="797" spans="5:5" x14ac:dyDescent="0.25">
      <c r="E797" s="67" t="str">
        <f>BUNDESLIGA!F864&amp;IF(OR(BUNDESLIGA!G864="",BUNDESLIGA!H864=""),"",IF(BUNDESLIGA!G864&gt;BUNDESLIGA!H864,"",IF(BUNDESLIGA!G864&lt;BUNDESLIGA!H864,"","")))</f>
        <v/>
      </c>
    </row>
    <row r="798" spans="5:5" x14ac:dyDescent="0.25">
      <c r="E798" s="67" t="str">
        <f>BUNDESLIGA!F865&amp;IF(OR(BUNDESLIGA!G865="",BUNDESLIGA!H865=""),"",IF(BUNDESLIGA!G865&gt;BUNDESLIGA!H865,"",IF(BUNDESLIGA!G865&lt;BUNDESLIGA!H865,"","")))</f>
        <v/>
      </c>
    </row>
    <row r="799" spans="5:5" x14ac:dyDescent="0.25">
      <c r="E799" s="67" t="str">
        <f>BUNDESLIGA!F866&amp;IF(OR(BUNDESLIGA!G866="",BUNDESLIGA!H866=""),"",IF(BUNDESLIGA!G866&gt;BUNDESLIGA!H866,"",IF(BUNDESLIGA!G866&lt;BUNDESLIGA!H866,"","")))</f>
        <v/>
      </c>
    </row>
    <row r="800" spans="5:5" x14ac:dyDescent="0.25">
      <c r="E800" s="67" t="str">
        <f>BUNDESLIGA!F867&amp;IF(OR(BUNDESLIGA!G867="",BUNDESLIGA!H867=""),"",IF(BUNDESLIGA!G867&gt;BUNDESLIGA!H867,"",IF(BUNDESLIGA!G867&lt;BUNDESLIGA!H867,"","")))</f>
        <v/>
      </c>
    </row>
    <row r="801" spans="5:5" x14ac:dyDescent="0.25">
      <c r="E801" s="67" t="str">
        <f>BUNDESLIGA!F868&amp;IF(OR(BUNDESLIGA!G868="",BUNDESLIGA!H868=""),"",IF(BUNDESLIGA!G868&gt;BUNDESLIGA!H868,"",IF(BUNDESLIGA!G868&lt;BUNDESLIGA!H868,"","")))</f>
        <v/>
      </c>
    </row>
    <row r="802" spans="5:5" x14ac:dyDescent="0.25">
      <c r="E802" s="67" t="str">
        <f>BUNDESLIGA!F869&amp;IF(OR(BUNDESLIGA!G869="",BUNDESLIGA!H869=""),"",IF(BUNDESLIGA!G869&gt;BUNDESLIGA!H869,"",IF(BUNDESLIGA!G869&lt;BUNDESLIGA!H869,"","")))</f>
        <v/>
      </c>
    </row>
    <row r="803" spans="5:5" x14ac:dyDescent="0.25">
      <c r="E803" s="67" t="str">
        <f>BUNDESLIGA!F870&amp;IF(OR(BUNDESLIGA!G870="",BUNDESLIGA!H870=""),"",IF(BUNDESLIGA!G870&gt;BUNDESLIGA!H870,"",IF(BUNDESLIGA!G870&lt;BUNDESLIGA!H870,"","")))</f>
        <v/>
      </c>
    </row>
    <row r="804" spans="5:5" x14ac:dyDescent="0.25">
      <c r="E804" s="67" t="str">
        <f>BUNDESLIGA!F871&amp;IF(OR(BUNDESLIGA!G871="",BUNDESLIGA!H871=""),"",IF(BUNDESLIGA!G871&gt;BUNDESLIGA!H871,"",IF(BUNDESLIGA!G871&lt;BUNDESLIGA!H871,"","")))</f>
        <v/>
      </c>
    </row>
    <row r="805" spans="5:5" x14ac:dyDescent="0.25">
      <c r="E805" s="67" t="str">
        <f>BUNDESLIGA!F872&amp;IF(OR(BUNDESLIGA!G872="",BUNDESLIGA!H872=""),"",IF(BUNDESLIGA!G872&gt;BUNDESLIGA!H872,"",IF(BUNDESLIGA!G872&lt;BUNDESLIGA!H872,"","")))</f>
        <v/>
      </c>
    </row>
    <row r="806" spans="5:5" x14ac:dyDescent="0.25">
      <c r="E806" s="67" t="str">
        <f>BUNDESLIGA!F873&amp;IF(OR(BUNDESLIGA!G873="",BUNDESLIGA!H873=""),"",IF(BUNDESLIGA!G873&gt;BUNDESLIGA!H873,"",IF(BUNDESLIGA!G873&lt;BUNDESLIGA!H873,"","")))</f>
        <v/>
      </c>
    </row>
    <row r="807" spans="5:5" x14ac:dyDescent="0.25">
      <c r="E807" s="67" t="str">
        <f>BUNDESLIGA!F874&amp;IF(OR(BUNDESLIGA!G874="",BUNDESLIGA!H874=""),"",IF(BUNDESLIGA!G874&gt;BUNDESLIGA!H874,"",IF(BUNDESLIGA!G874&lt;BUNDESLIGA!H874,"","")))</f>
        <v/>
      </c>
    </row>
    <row r="808" spans="5:5" x14ac:dyDescent="0.25">
      <c r="E808" s="67" t="str">
        <f>BUNDESLIGA!F875&amp;IF(OR(BUNDESLIGA!G875="",BUNDESLIGA!H875=""),"",IF(BUNDESLIGA!G875&gt;BUNDESLIGA!H875,"",IF(BUNDESLIGA!G875&lt;BUNDESLIGA!H875,"","")))</f>
        <v/>
      </c>
    </row>
    <row r="809" spans="5:5" x14ac:dyDescent="0.25">
      <c r="E809" s="67" t="str">
        <f>BUNDESLIGA!F876&amp;IF(OR(BUNDESLIGA!G876="",BUNDESLIGA!H876=""),"",IF(BUNDESLIGA!G876&gt;BUNDESLIGA!H876,"",IF(BUNDESLIGA!G876&lt;BUNDESLIGA!H876,"","")))</f>
        <v/>
      </c>
    </row>
    <row r="810" spans="5:5" x14ac:dyDescent="0.25">
      <c r="E810" s="67" t="str">
        <f>BUNDESLIGA!F877&amp;IF(OR(BUNDESLIGA!G877="",BUNDESLIGA!H877=""),"",IF(BUNDESLIGA!G877&gt;BUNDESLIGA!H877,"",IF(BUNDESLIGA!G877&lt;BUNDESLIGA!H877,"","")))</f>
        <v/>
      </c>
    </row>
    <row r="811" spans="5:5" x14ac:dyDescent="0.25">
      <c r="E811" s="67" t="str">
        <f>BUNDESLIGA!F878&amp;IF(OR(BUNDESLIGA!G878="",BUNDESLIGA!H878=""),"",IF(BUNDESLIGA!G878&gt;BUNDESLIGA!H878,"",IF(BUNDESLIGA!G878&lt;BUNDESLIGA!H878,"","")))</f>
        <v/>
      </c>
    </row>
    <row r="812" spans="5:5" x14ac:dyDescent="0.25">
      <c r="E812" s="67" t="str">
        <f>BUNDESLIGA!F879&amp;IF(OR(BUNDESLIGA!G879="",BUNDESLIGA!H879=""),"",IF(BUNDESLIGA!G879&gt;BUNDESLIGA!H879,"",IF(BUNDESLIGA!G879&lt;BUNDESLIGA!H879,"","")))</f>
        <v/>
      </c>
    </row>
    <row r="813" spans="5:5" x14ac:dyDescent="0.25">
      <c r="E813" s="67" t="str">
        <f>BUNDESLIGA!F880&amp;IF(OR(BUNDESLIGA!G880="",BUNDESLIGA!H880=""),"",IF(BUNDESLIGA!G880&gt;BUNDESLIGA!H880,"",IF(BUNDESLIGA!G880&lt;BUNDESLIGA!H880,"","")))</f>
        <v/>
      </c>
    </row>
    <row r="814" spans="5:5" x14ac:dyDescent="0.25">
      <c r="E814" s="67" t="str">
        <f>BUNDESLIGA!F881&amp;IF(OR(BUNDESLIGA!G881="",BUNDESLIGA!H881=""),"",IF(BUNDESLIGA!G881&gt;BUNDESLIGA!H881,"",IF(BUNDESLIGA!G881&lt;BUNDESLIGA!H881,"","")))</f>
        <v/>
      </c>
    </row>
    <row r="815" spans="5:5" x14ac:dyDescent="0.25">
      <c r="E815" s="67" t="str">
        <f>BUNDESLIGA!F882&amp;IF(OR(BUNDESLIGA!G882="",BUNDESLIGA!H882=""),"",IF(BUNDESLIGA!G882&gt;BUNDESLIGA!H882,"",IF(BUNDESLIGA!G882&lt;BUNDESLIGA!H882,"","")))</f>
        <v/>
      </c>
    </row>
    <row r="816" spans="5:5" x14ac:dyDescent="0.25">
      <c r="E816" s="67" t="str">
        <f>BUNDESLIGA!F883&amp;IF(OR(BUNDESLIGA!G883="",BUNDESLIGA!H883=""),"",IF(BUNDESLIGA!G883&gt;BUNDESLIGA!H883,"",IF(BUNDESLIGA!G883&lt;BUNDESLIGA!H883,"","")))</f>
        <v/>
      </c>
    </row>
    <row r="817" spans="5:5" x14ac:dyDescent="0.25">
      <c r="E817" s="67" t="str">
        <f>BUNDESLIGA!F884&amp;IF(OR(BUNDESLIGA!G884="",BUNDESLIGA!H884=""),"",IF(BUNDESLIGA!G884&gt;BUNDESLIGA!H884,"",IF(BUNDESLIGA!G884&lt;BUNDESLIGA!H884,"","")))</f>
        <v/>
      </c>
    </row>
    <row r="818" spans="5:5" x14ac:dyDescent="0.25">
      <c r="E818" s="67" t="str">
        <f>BUNDESLIGA!F885&amp;IF(OR(BUNDESLIGA!G885="",BUNDESLIGA!H885=""),"",IF(BUNDESLIGA!G885&gt;BUNDESLIGA!H885,"",IF(BUNDESLIGA!G885&lt;BUNDESLIGA!H885,"","")))</f>
        <v/>
      </c>
    </row>
    <row r="819" spans="5:5" x14ac:dyDescent="0.25">
      <c r="E819" s="67" t="str">
        <f>BUNDESLIGA!F886&amp;IF(OR(BUNDESLIGA!G886="",BUNDESLIGA!H886=""),"",IF(BUNDESLIGA!G886&gt;BUNDESLIGA!H886,"",IF(BUNDESLIGA!G886&lt;BUNDESLIGA!H886,"","")))</f>
        <v/>
      </c>
    </row>
    <row r="820" spans="5:5" x14ac:dyDescent="0.25">
      <c r="E820" s="67" t="str">
        <f>BUNDESLIGA!F887&amp;IF(OR(BUNDESLIGA!G887="",BUNDESLIGA!H887=""),"",IF(BUNDESLIGA!G887&gt;BUNDESLIGA!H887,"",IF(BUNDESLIGA!G887&lt;BUNDESLIGA!H887,"","")))</f>
        <v/>
      </c>
    </row>
    <row r="821" spans="5:5" x14ac:dyDescent="0.25">
      <c r="E821" s="67" t="str">
        <f>BUNDESLIGA!F888&amp;IF(OR(BUNDESLIGA!G888="",BUNDESLIGA!H888=""),"",IF(BUNDESLIGA!G888&gt;BUNDESLIGA!H888,"",IF(BUNDESLIGA!G888&lt;BUNDESLIGA!H888,"","")))</f>
        <v/>
      </c>
    </row>
    <row r="822" spans="5:5" x14ac:dyDescent="0.25">
      <c r="E822" s="67" t="str">
        <f>BUNDESLIGA!F889&amp;IF(OR(BUNDESLIGA!G889="",BUNDESLIGA!H889=""),"",IF(BUNDESLIGA!G889&gt;BUNDESLIGA!H889,"",IF(BUNDESLIGA!G889&lt;BUNDESLIGA!H889,"","")))</f>
        <v/>
      </c>
    </row>
    <row r="823" spans="5:5" x14ac:dyDescent="0.25">
      <c r="E823" s="67" t="str">
        <f>BUNDESLIGA!F890&amp;IF(OR(BUNDESLIGA!G890="",BUNDESLIGA!H890=""),"",IF(BUNDESLIGA!G890&gt;BUNDESLIGA!H890,"",IF(BUNDESLIGA!G890&lt;BUNDESLIGA!H890,"","")))</f>
        <v/>
      </c>
    </row>
    <row r="824" spans="5:5" x14ac:dyDescent="0.25">
      <c r="E824" s="67" t="str">
        <f>BUNDESLIGA!F891&amp;IF(OR(BUNDESLIGA!G891="",BUNDESLIGA!H891=""),"",IF(BUNDESLIGA!G891&gt;BUNDESLIGA!H891,"",IF(BUNDESLIGA!G891&lt;BUNDESLIGA!H891,"","")))</f>
        <v/>
      </c>
    </row>
    <row r="825" spans="5:5" x14ac:dyDescent="0.25">
      <c r="E825" s="67" t="str">
        <f>BUNDESLIGA!F892&amp;IF(OR(BUNDESLIGA!G892="",BUNDESLIGA!H892=""),"",IF(BUNDESLIGA!G892&gt;BUNDESLIGA!H892,"",IF(BUNDESLIGA!G892&lt;BUNDESLIGA!H892,"","")))</f>
        <v/>
      </c>
    </row>
    <row r="826" spans="5:5" x14ac:dyDescent="0.25">
      <c r="E826" s="67" t="str">
        <f>BUNDESLIGA!F893&amp;IF(OR(BUNDESLIGA!G893="",BUNDESLIGA!H893=""),"",IF(BUNDESLIGA!G893&gt;BUNDESLIGA!H893,"",IF(BUNDESLIGA!G893&lt;BUNDESLIGA!H893,"","")))</f>
        <v/>
      </c>
    </row>
    <row r="827" spans="5:5" x14ac:dyDescent="0.25">
      <c r="E827" s="67" t="str">
        <f>BUNDESLIGA!F894&amp;IF(OR(BUNDESLIGA!G894="",BUNDESLIGA!H894=""),"",IF(BUNDESLIGA!G894&gt;BUNDESLIGA!H894,"",IF(BUNDESLIGA!G894&lt;BUNDESLIGA!H894,"","")))</f>
        <v/>
      </c>
    </row>
    <row r="828" spans="5:5" x14ac:dyDescent="0.25">
      <c r="E828" s="67" t="str">
        <f>BUNDESLIGA!F895&amp;IF(OR(BUNDESLIGA!G895="",BUNDESLIGA!H895=""),"",IF(BUNDESLIGA!G895&gt;BUNDESLIGA!H895,"",IF(BUNDESLIGA!G895&lt;BUNDESLIGA!H895,"","")))</f>
        <v/>
      </c>
    </row>
    <row r="829" spans="5:5" x14ac:dyDescent="0.25">
      <c r="E829" s="67" t="str">
        <f>BUNDESLIGA!F896&amp;IF(OR(BUNDESLIGA!G896="",BUNDESLIGA!H896=""),"",IF(BUNDESLIGA!G896&gt;BUNDESLIGA!H896,"",IF(BUNDESLIGA!G896&lt;BUNDESLIGA!H896,"","")))</f>
        <v/>
      </c>
    </row>
    <row r="830" spans="5:5" x14ac:dyDescent="0.25">
      <c r="E830" s="67" t="str">
        <f>BUNDESLIGA!F897&amp;IF(OR(BUNDESLIGA!G897="",BUNDESLIGA!H897=""),"",IF(BUNDESLIGA!G897&gt;BUNDESLIGA!H897,"",IF(BUNDESLIGA!G897&lt;BUNDESLIGA!H897,"","")))</f>
        <v/>
      </c>
    </row>
    <row r="831" spans="5:5" x14ac:dyDescent="0.25">
      <c r="E831" s="67" t="str">
        <f>BUNDESLIGA!F898&amp;IF(OR(BUNDESLIGA!G898="",BUNDESLIGA!H898=""),"",IF(BUNDESLIGA!G898&gt;BUNDESLIGA!H898,"",IF(BUNDESLIGA!G898&lt;BUNDESLIGA!H898,"","")))</f>
        <v/>
      </c>
    </row>
    <row r="832" spans="5:5" x14ac:dyDescent="0.25">
      <c r="E832" s="67" t="str">
        <f>BUNDESLIGA!F899&amp;IF(OR(BUNDESLIGA!G899="",BUNDESLIGA!H899=""),"",IF(BUNDESLIGA!G899&gt;BUNDESLIGA!H899,"",IF(BUNDESLIGA!G899&lt;BUNDESLIGA!H899,"","")))</f>
        <v/>
      </c>
    </row>
    <row r="833" spans="5:5" x14ac:dyDescent="0.25">
      <c r="E833" s="67" t="str">
        <f>BUNDESLIGA!F900&amp;IF(OR(BUNDESLIGA!G900="",BUNDESLIGA!H900=""),"",IF(BUNDESLIGA!G900&gt;BUNDESLIGA!H900,"",IF(BUNDESLIGA!G900&lt;BUNDESLIGA!H900,"","")))</f>
        <v/>
      </c>
    </row>
    <row r="834" spans="5:5" x14ac:dyDescent="0.25">
      <c r="E834" s="67" t="str">
        <f>BUNDESLIGA!F901&amp;IF(OR(BUNDESLIGA!G901="",BUNDESLIGA!H901=""),"",IF(BUNDESLIGA!G901&gt;BUNDESLIGA!H901,"",IF(BUNDESLIGA!G901&lt;BUNDESLIGA!H901,"","")))</f>
        <v/>
      </c>
    </row>
    <row r="835" spans="5:5" x14ac:dyDescent="0.25">
      <c r="E835" s="67" t="str">
        <f>BUNDESLIGA!F902&amp;IF(OR(BUNDESLIGA!G902="",BUNDESLIGA!H902=""),"",IF(BUNDESLIGA!G902&gt;BUNDESLIGA!H902,"",IF(BUNDESLIGA!G902&lt;BUNDESLIGA!H902,"","")))</f>
        <v/>
      </c>
    </row>
    <row r="836" spans="5:5" x14ac:dyDescent="0.25">
      <c r="E836" s="67" t="str">
        <f>BUNDESLIGA!F903&amp;IF(OR(BUNDESLIGA!G903="",BUNDESLIGA!H903=""),"",IF(BUNDESLIGA!G903&gt;BUNDESLIGA!H903,"",IF(BUNDESLIGA!G903&lt;BUNDESLIGA!H903,"","")))</f>
        <v/>
      </c>
    </row>
    <row r="837" spans="5:5" x14ac:dyDescent="0.25">
      <c r="E837" s="67" t="str">
        <f>BUNDESLIGA!F904&amp;IF(OR(BUNDESLIGA!G904="",BUNDESLIGA!H904=""),"",IF(BUNDESLIGA!G904&gt;BUNDESLIGA!H904,"",IF(BUNDESLIGA!G904&lt;BUNDESLIGA!H904,"","")))</f>
        <v/>
      </c>
    </row>
    <row r="838" spans="5:5" x14ac:dyDescent="0.25">
      <c r="E838" s="67" t="str">
        <f>BUNDESLIGA!F905&amp;IF(OR(BUNDESLIGA!G905="",BUNDESLIGA!H905=""),"",IF(BUNDESLIGA!G905&gt;BUNDESLIGA!H905,"",IF(BUNDESLIGA!G905&lt;BUNDESLIGA!H905,"","")))</f>
        <v/>
      </c>
    </row>
    <row r="839" spans="5:5" x14ac:dyDescent="0.25">
      <c r="E839" s="67" t="str">
        <f>BUNDESLIGA!F906&amp;IF(OR(BUNDESLIGA!G906="",BUNDESLIGA!H906=""),"",IF(BUNDESLIGA!G906&gt;BUNDESLIGA!H906,"",IF(BUNDESLIGA!G906&lt;BUNDESLIGA!H906,"","")))</f>
        <v/>
      </c>
    </row>
    <row r="840" spans="5:5" x14ac:dyDescent="0.25">
      <c r="E840" s="67" t="str">
        <f>BUNDESLIGA!F907&amp;IF(OR(BUNDESLIGA!G907="",BUNDESLIGA!H907=""),"",IF(BUNDESLIGA!G907&gt;BUNDESLIGA!H907,"",IF(BUNDESLIGA!G907&lt;BUNDESLIGA!H907,"","")))</f>
        <v/>
      </c>
    </row>
    <row r="841" spans="5:5" x14ac:dyDescent="0.25">
      <c r="E841" s="67" t="str">
        <f>BUNDESLIGA!F908&amp;IF(OR(BUNDESLIGA!G908="",BUNDESLIGA!H908=""),"",IF(BUNDESLIGA!G908&gt;BUNDESLIGA!H908,"",IF(BUNDESLIGA!G908&lt;BUNDESLIGA!H908,"","")))</f>
        <v/>
      </c>
    </row>
    <row r="842" spans="5:5" x14ac:dyDescent="0.25">
      <c r="E842" s="67" t="str">
        <f>BUNDESLIGA!F909&amp;IF(OR(BUNDESLIGA!G909="",BUNDESLIGA!H909=""),"",IF(BUNDESLIGA!G909&gt;BUNDESLIGA!H909,"",IF(BUNDESLIGA!G909&lt;BUNDESLIGA!H909,"","")))</f>
        <v/>
      </c>
    </row>
    <row r="843" spans="5:5" x14ac:dyDescent="0.25">
      <c r="E843" s="67" t="str">
        <f>BUNDESLIGA!F910&amp;IF(OR(BUNDESLIGA!G910="",BUNDESLIGA!H910=""),"",IF(BUNDESLIGA!G910&gt;BUNDESLIGA!H910,"",IF(BUNDESLIGA!G910&lt;BUNDESLIGA!H910,"","")))</f>
        <v/>
      </c>
    </row>
    <row r="844" spans="5:5" x14ac:dyDescent="0.25">
      <c r="E844" s="67" t="str">
        <f>BUNDESLIGA!F911&amp;IF(OR(BUNDESLIGA!G911="",BUNDESLIGA!H911=""),"",IF(BUNDESLIGA!G911&gt;BUNDESLIGA!H911,"",IF(BUNDESLIGA!G911&lt;BUNDESLIGA!H911,"","")))</f>
        <v/>
      </c>
    </row>
    <row r="845" spans="5:5" x14ac:dyDescent="0.25">
      <c r="E845" s="67" t="str">
        <f>BUNDESLIGA!F912&amp;IF(OR(BUNDESLIGA!G912="",BUNDESLIGA!H912=""),"",IF(BUNDESLIGA!G912&gt;BUNDESLIGA!H912,"",IF(BUNDESLIGA!G912&lt;BUNDESLIGA!H912,"","")))</f>
        <v/>
      </c>
    </row>
    <row r="846" spans="5:5" x14ac:dyDescent="0.25">
      <c r="E846" s="67" t="str">
        <f>BUNDESLIGA!F913&amp;IF(OR(BUNDESLIGA!G913="",BUNDESLIGA!H913=""),"",IF(BUNDESLIGA!G913&gt;BUNDESLIGA!H913,"",IF(BUNDESLIGA!G913&lt;BUNDESLIGA!H913,"","")))</f>
        <v/>
      </c>
    </row>
    <row r="847" spans="5:5" x14ac:dyDescent="0.25">
      <c r="E847" s="67" t="str">
        <f>BUNDESLIGA!F914&amp;IF(OR(BUNDESLIGA!G914="",BUNDESLIGA!H914=""),"",IF(BUNDESLIGA!G914&gt;BUNDESLIGA!H914,"",IF(BUNDESLIGA!G914&lt;BUNDESLIGA!H914,"","")))</f>
        <v/>
      </c>
    </row>
    <row r="848" spans="5:5" x14ac:dyDescent="0.25">
      <c r="E848" s="67" t="str">
        <f>BUNDESLIGA!F915&amp;IF(OR(BUNDESLIGA!G915="",BUNDESLIGA!H915=""),"",IF(BUNDESLIGA!G915&gt;BUNDESLIGA!H915,"",IF(BUNDESLIGA!G915&lt;BUNDESLIGA!H915,"","")))</f>
        <v/>
      </c>
    </row>
    <row r="849" spans="5:5" x14ac:dyDescent="0.25">
      <c r="E849" s="67" t="str">
        <f>BUNDESLIGA!F916&amp;IF(OR(BUNDESLIGA!G916="",BUNDESLIGA!H916=""),"",IF(BUNDESLIGA!G916&gt;BUNDESLIGA!H916,"",IF(BUNDESLIGA!G916&lt;BUNDESLIGA!H916,"","")))</f>
        <v/>
      </c>
    </row>
    <row r="850" spans="5:5" x14ac:dyDescent="0.25">
      <c r="E850" s="67" t="str">
        <f>BUNDESLIGA!F917&amp;IF(OR(BUNDESLIGA!G917="",BUNDESLIGA!H917=""),"",IF(BUNDESLIGA!G917&gt;BUNDESLIGA!H917,"",IF(BUNDESLIGA!G917&lt;BUNDESLIGA!H917,"","")))</f>
        <v/>
      </c>
    </row>
    <row r="851" spans="5:5" x14ac:dyDescent="0.25">
      <c r="E851" s="67" t="str">
        <f>BUNDESLIGA!F918&amp;IF(OR(BUNDESLIGA!G918="",BUNDESLIGA!H918=""),"",IF(BUNDESLIGA!G918&gt;BUNDESLIGA!H918,"",IF(BUNDESLIGA!G918&lt;BUNDESLIGA!H918,"","")))</f>
        <v/>
      </c>
    </row>
    <row r="852" spans="5:5" x14ac:dyDescent="0.25">
      <c r="E852" s="67" t="str">
        <f>BUNDESLIGA!F919&amp;IF(OR(BUNDESLIGA!G919="",BUNDESLIGA!H919=""),"",IF(BUNDESLIGA!G919&gt;BUNDESLIGA!H919,"",IF(BUNDESLIGA!G919&lt;BUNDESLIGA!H919,"","")))</f>
        <v/>
      </c>
    </row>
    <row r="853" spans="5:5" x14ac:dyDescent="0.25">
      <c r="E853" s="67" t="str">
        <f>BUNDESLIGA!F920&amp;IF(OR(BUNDESLIGA!G920="",BUNDESLIGA!H920=""),"",IF(BUNDESLIGA!G920&gt;BUNDESLIGA!H920,"",IF(BUNDESLIGA!G920&lt;BUNDESLIGA!H920,"","")))</f>
        <v/>
      </c>
    </row>
    <row r="854" spans="5:5" x14ac:dyDescent="0.25">
      <c r="E854" s="67" t="str">
        <f>BUNDESLIGA!F921&amp;IF(OR(BUNDESLIGA!G921="",BUNDESLIGA!H921=""),"",IF(BUNDESLIGA!G921&gt;BUNDESLIGA!H921,"",IF(BUNDESLIGA!G921&lt;BUNDESLIGA!H921,"","")))</f>
        <v/>
      </c>
    </row>
    <row r="855" spans="5:5" x14ac:dyDescent="0.25">
      <c r="E855" s="67" t="str">
        <f>BUNDESLIGA!F922&amp;IF(OR(BUNDESLIGA!G922="",BUNDESLIGA!H922=""),"",IF(BUNDESLIGA!G922&gt;BUNDESLIGA!H922,"",IF(BUNDESLIGA!G922&lt;BUNDESLIGA!H922,"","")))</f>
        <v/>
      </c>
    </row>
    <row r="856" spans="5:5" x14ac:dyDescent="0.25">
      <c r="E856" s="67" t="str">
        <f>BUNDESLIGA!F923&amp;IF(OR(BUNDESLIGA!G923="",BUNDESLIGA!H923=""),"",IF(BUNDESLIGA!G923&gt;BUNDESLIGA!H923,"",IF(BUNDESLIGA!G923&lt;BUNDESLIGA!H923,"","")))</f>
        <v/>
      </c>
    </row>
    <row r="857" spans="5:5" x14ac:dyDescent="0.25">
      <c r="E857" s="67" t="str">
        <f>BUNDESLIGA!F924&amp;IF(OR(BUNDESLIGA!G924="",BUNDESLIGA!H924=""),"",IF(BUNDESLIGA!G924&gt;BUNDESLIGA!H924,"",IF(BUNDESLIGA!G924&lt;BUNDESLIGA!H924,"","")))</f>
        <v/>
      </c>
    </row>
    <row r="858" spans="5:5" x14ac:dyDescent="0.25">
      <c r="E858" s="67" t="str">
        <f>BUNDESLIGA!F925&amp;IF(OR(BUNDESLIGA!G925="",BUNDESLIGA!H925=""),"",IF(BUNDESLIGA!G925&gt;BUNDESLIGA!H925,"",IF(BUNDESLIGA!G925&lt;BUNDESLIGA!H925,"","")))</f>
        <v/>
      </c>
    </row>
    <row r="859" spans="5:5" x14ac:dyDescent="0.25">
      <c r="E859" s="67" t="str">
        <f>BUNDESLIGA!F926&amp;IF(OR(BUNDESLIGA!G926="",BUNDESLIGA!H926=""),"",IF(BUNDESLIGA!G926&gt;BUNDESLIGA!H926,"",IF(BUNDESLIGA!G926&lt;BUNDESLIGA!H926,"","")))</f>
        <v/>
      </c>
    </row>
    <row r="860" spans="5:5" x14ac:dyDescent="0.25">
      <c r="E860" s="67" t="str">
        <f>BUNDESLIGA!F927&amp;IF(OR(BUNDESLIGA!G927="",BUNDESLIGA!H927=""),"",IF(BUNDESLIGA!G927&gt;BUNDESLIGA!H927,"",IF(BUNDESLIGA!G927&lt;BUNDESLIGA!H927,"","")))</f>
        <v/>
      </c>
    </row>
    <row r="861" spans="5:5" x14ac:dyDescent="0.25">
      <c r="E861" s="67" t="str">
        <f>BUNDESLIGA!F928&amp;IF(OR(BUNDESLIGA!G928="",BUNDESLIGA!H928=""),"",IF(BUNDESLIGA!G928&gt;BUNDESLIGA!H928,"",IF(BUNDESLIGA!G928&lt;BUNDESLIGA!H928,"","")))</f>
        <v/>
      </c>
    </row>
    <row r="862" spans="5:5" x14ac:dyDescent="0.25">
      <c r="E862" s="67" t="str">
        <f>BUNDESLIGA!F929&amp;IF(OR(BUNDESLIGA!G929="",BUNDESLIGA!H929=""),"",IF(BUNDESLIGA!G929&gt;BUNDESLIGA!H929,"",IF(BUNDESLIGA!G929&lt;BUNDESLIGA!H929,"","")))</f>
        <v/>
      </c>
    </row>
    <row r="863" spans="5:5" x14ac:dyDescent="0.25">
      <c r="E863" s="67" t="str">
        <f>BUNDESLIGA!F930&amp;IF(OR(BUNDESLIGA!G930="",BUNDESLIGA!H930=""),"",IF(BUNDESLIGA!G930&gt;BUNDESLIGA!H930,"",IF(BUNDESLIGA!G930&lt;BUNDESLIGA!H930,"","")))</f>
        <v/>
      </c>
    </row>
    <row r="864" spans="5:5" x14ac:dyDescent="0.25">
      <c r="E864" s="67" t="str">
        <f>BUNDESLIGA!F931&amp;IF(OR(BUNDESLIGA!G931="",BUNDESLIGA!H931=""),"",IF(BUNDESLIGA!G931&gt;BUNDESLIGA!H931,"",IF(BUNDESLIGA!G931&lt;BUNDESLIGA!H931,"","")))</f>
        <v/>
      </c>
    </row>
    <row r="865" spans="5:5" x14ac:dyDescent="0.25">
      <c r="E865" s="67" t="str">
        <f>BUNDESLIGA!F932&amp;IF(OR(BUNDESLIGA!G932="",BUNDESLIGA!H932=""),"",IF(BUNDESLIGA!G932&gt;BUNDESLIGA!H932,"",IF(BUNDESLIGA!G932&lt;BUNDESLIGA!H932,"","")))</f>
        <v/>
      </c>
    </row>
    <row r="866" spans="5:5" x14ac:dyDescent="0.25">
      <c r="E866" s="67" t="str">
        <f>BUNDESLIGA!F933&amp;IF(OR(BUNDESLIGA!G933="",BUNDESLIGA!H933=""),"",IF(BUNDESLIGA!G933&gt;BUNDESLIGA!H933,"",IF(BUNDESLIGA!G933&lt;BUNDESLIGA!H933,"","")))</f>
        <v/>
      </c>
    </row>
    <row r="867" spans="5:5" x14ac:dyDescent="0.25">
      <c r="E867" s="67" t="str">
        <f>BUNDESLIGA!F934&amp;IF(OR(BUNDESLIGA!G934="",BUNDESLIGA!H934=""),"",IF(BUNDESLIGA!G934&gt;BUNDESLIGA!H934,"",IF(BUNDESLIGA!G934&lt;BUNDESLIGA!H934,"","")))</f>
        <v/>
      </c>
    </row>
    <row r="868" spans="5:5" x14ac:dyDescent="0.25">
      <c r="E868" s="67" t="str">
        <f>BUNDESLIGA!F935&amp;IF(OR(BUNDESLIGA!G935="",BUNDESLIGA!H935=""),"",IF(BUNDESLIGA!G935&gt;BUNDESLIGA!H935,"",IF(BUNDESLIGA!G935&lt;BUNDESLIGA!H935,"","")))</f>
        <v/>
      </c>
    </row>
    <row r="869" spans="5:5" x14ac:dyDescent="0.25">
      <c r="E869" s="67" t="str">
        <f>BUNDESLIGA!F936&amp;IF(OR(BUNDESLIGA!G936="",BUNDESLIGA!H936=""),"",IF(BUNDESLIGA!G936&gt;BUNDESLIGA!H936,"",IF(BUNDESLIGA!G936&lt;BUNDESLIGA!H936,"","")))</f>
        <v/>
      </c>
    </row>
    <row r="870" spans="5:5" x14ac:dyDescent="0.25">
      <c r="E870" s="67" t="str">
        <f>BUNDESLIGA!F937&amp;IF(OR(BUNDESLIGA!G937="",BUNDESLIGA!H937=""),"",IF(BUNDESLIGA!G937&gt;BUNDESLIGA!H937,"",IF(BUNDESLIGA!G937&lt;BUNDESLIGA!H937,"","")))</f>
        <v/>
      </c>
    </row>
    <row r="871" spans="5:5" x14ac:dyDescent="0.25">
      <c r="E871" s="67" t="str">
        <f>BUNDESLIGA!F938&amp;IF(OR(BUNDESLIGA!G938="",BUNDESLIGA!H938=""),"",IF(BUNDESLIGA!G938&gt;BUNDESLIGA!H938,"",IF(BUNDESLIGA!G938&lt;BUNDESLIGA!H938,"","")))</f>
        <v/>
      </c>
    </row>
    <row r="872" spans="5:5" x14ac:dyDescent="0.25">
      <c r="E872" s="67" t="str">
        <f>BUNDESLIGA!F939&amp;IF(OR(BUNDESLIGA!G939="",BUNDESLIGA!H939=""),"",IF(BUNDESLIGA!G939&gt;BUNDESLIGA!H939,"",IF(BUNDESLIGA!G939&lt;BUNDESLIGA!H939,"","")))</f>
        <v/>
      </c>
    </row>
    <row r="873" spans="5:5" x14ac:dyDescent="0.25">
      <c r="E873" s="67" t="str">
        <f>BUNDESLIGA!F940&amp;IF(OR(BUNDESLIGA!G940="",BUNDESLIGA!H940=""),"",IF(BUNDESLIGA!G940&gt;BUNDESLIGA!H940,"",IF(BUNDESLIGA!G940&lt;BUNDESLIGA!H940,"","")))</f>
        <v/>
      </c>
    </row>
    <row r="874" spans="5:5" x14ac:dyDescent="0.25">
      <c r="E874" s="67" t="str">
        <f>BUNDESLIGA!F941&amp;IF(OR(BUNDESLIGA!G941="",BUNDESLIGA!H941=""),"",IF(BUNDESLIGA!G941&gt;BUNDESLIGA!H941,"",IF(BUNDESLIGA!G941&lt;BUNDESLIGA!H941,"","")))</f>
        <v/>
      </c>
    </row>
    <row r="875" spans="5:5" x14ac:dyDescent="0.25">
      <c r="E875" s="67" t="str">
        <f>BUNDESLIGA!F942&amp;IF(OR(BUNDESLIGA!G942="",BUNDESLIGA!H942=""),"",IF(BUNDESLIGA!G942&gt;BUNDESLIGA!H942,"",IF(BUNDESLIGA!G942&lt;BUNDESLIGA!H942,"","")))</f>
        <v/>
      </c>
    </row>
  </sheetData>
  <autoFilter ref="D2:J875" xr:uid="{1E083D9F-B3EC-4FD4-95DC-7D0789EF504C}"/>
  <mergeCells count="4">
    <mergeCell ref="I1:J1"/>
    <mergeCell ref="AD2:AH2"/>
    <mergeCell ref="AJ2:AN2"/>
    <mergeCell ref="Q2:AB2"/>
  </mergeCells>
  <conditionalFormatting sqref="D3:J308">
    <cfRule type="expression" dxfId="44" priority="139">
      <formula>OR($E3=$Q$2,$F3=$Q$2)</formula>
    </cfRule>
  </conditionalFormatting>
  <conditionalFormatting sqref="T4:Z37">
    <cfRule type="expression" dxfId="43" priority="7">
      <formula>$Q$2=T4</formula>
    </cfRule>
  </conditionalFormatting>
  <conditionalFormatting sqref="X4:X37">
    <cfRule type="expression" dxfId="42" priority="4">
      <formula>AND($Q$2&lt;&gt;"",X4&lt;Z4)</formula>
    </cfRule>
    <cfRule type="expression" dxfId="41" priority="5">
      <formula>AND($Q$2&lt;&gt;"",X4&lt;&gt;"",X4=Z4)</formula>
    </cfRule>
    <cfRule type="expression" dxfId="40" priority="6">
      <formula>AND($Q$2&lt;&gt;"",X4&gt;Z4)</formula>
    </cfRule>
  </conditionalFormatting>
  <conditionalFormatting sqref="Z4:Z37">
    <cfRule type="expression" dxfId="39" priority="1">
      <formula>AND($Q$2&lt;&gt;"",Z4&lt;X4)</formula>
    </cfRule>
    <cfRule type="expression" dxfId="38" priority="2">
      <formula>AND($Q$2&lt;&gt;"",Z4&lt;&gt;"",Z4=X4)</formula>
    </cfRule>
    <cfRule type="expression" dxfId="37" priority="3">
      <formula>AND($Q$2&lt;&gt;"",Z4&gt;X4)</formula>
    </cfRule>
  </conditionalFormatting>
  <dataValidations count="1">
    <dataValidation type="list" allowBlank="1" showInputMessage="1" showErrorMessage="1" sqref="Q2" xr:uid="{00000000-0002-0000-0600-000000000000}">
      <formula1>$AP$3:$AP$20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1000000}">
          <x14:formula1>
            <xm:f>EQUIPES!$F$6:$F$23</xm:f>
          </x14:formula1>
          <xm:sqref>Q2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6D318-1822-465E-A9A5-9425820ECC29}">
  <sheetPr codeName="Feuil11"/>
  <dimension ref="A1:AR1630"/>
  <sheetViews>
    <sheetView tabSelected="1" topLeftCell="E1" zoomScaleNormal="100" workbookViewId="0">
      <selection activeCell="AU25" sqref="AU25"/>
    </sheetView>
  </sheetViews>
  <sheetFormatPr baseColWidth="10" defaultRowHeight="15.75" x14ac:dyDescent="0.25"/>
  <cols>
    <col min="1" max="1" width="10.140625" style="107" customWidth="1"/>
    <col min="2" max="2" width="5.7109375" style="107" customWidth="1"/>
    <col min="3" max="3" width="24.28515625" style="107" customWidth="1"/>
    <col min="4" max="5" width="5.85546875" style="107" customWidth="1"/>
    <col min="6" max="6" width="24.28515625" style="107" customWidth="1"/>
    <col min="7" max="8" width="5.7109375" style="107" customWidth="1"/>
    <col min="9" max="9" width="3.7109375" style="107" customWidth="1"/>
    <col min="10" max="10" width="12.5703125" style="107" bestFit="1" customWidth="1"/>
    <col min="11" max="11" width="25" style="107" customWidth="1"/>
    <col min="12" max="12" width="3.140625" style="107" customWidth="1"/>
    <col min="13" max="13" width="25" style="107" customWidth="1"/>
    <col min="14" max="15" width="6.28515625" style="107" customWidth="1"/>
    <col min="16" max="16" width="2.85546875" style="107" customWidth="1"/>
    <col min="17" max="17" width="7.140625" style="107" customWidth="1"/>
    <col min="18" max="21" width="7.140625" style="107" hidden="1" customWidth="1"/>
    <col min="22" max="22" width="2.85546875" style="107" customWidth="1"/>
    <col min="23" max="23" width="5.7109375" style="107" hidden="1" customWidth="1"/>
    <col min="24" max="24" width="14" style="107" customWidth="1"/>
    <col min="25" max="25" width="18.5703125" style="107" customWidth="1"/>
    <col min="26" max="26" width="17.140625" style="107" customWidth="1"/>
    <col min="27" max="27" width="3" style="107" customWidth="1"/>
    <col min="28" max="28" width="25.7109375" style="107" customWidth="1"/>
    <col min="29" max="29" width="4.85546875" style="107" customWidth="1"/>
    <col min="30" max="30" width="5.7109375" style="107" hidden="1" customWidth="1"/>
    <col min="31" max="31" width="5.85546875" style="107" hidden="1" customWidth="1"/>
    <col min="32" max="32" width="5.7109375" style="107" hidden="1" customWidth="1"/>
    <col min="33" max="33" width="15" style="107" hidden="1" customWidth="1"/>
    <col min="34" max="34" width="25.85546875" style="107" hidden="1" customWidth="1"/>
    <col min="35" max="35" width="25.7109375" style="107" hidden="1" customWidth="1"/>
    <col min="36" max="38" width="5.7109375" style="107" hidden="1" customWidth="1"/>
    <col min="39" max="39" width="24.28515625" style="107" hidden="1" customWidth="1"/>
    <col min="40" max="40" width="5.7109375" style="107" hidden="1" customWidth="1"/>
    <col min="41" max="41" width="5" style="107" hidden="1" customWidth="1"/>
    <col min="42" max="42" width="7.140625" style="107" hidden="1" customWidth="1"/>
    <col min="43" max="43" width="0" style="107" hidden="1" customWidth="1"/>
    <col min="44" max="44" width="23.85546875" style="107" hidden="1" customWidth="1"/>
    <col min="45" max="16384" width="11.42578125" style="107"/>
  </cols>
  <sheetData>
    <row r="1" spans="2:44" x14ac:dyDescent="0.25">
      <c r="J1" s="117"/>
    </row>
    <row r="2" spans="2:44" x14ac:dyDescent="0.25">
      <c r="J2" s="117"/>
      <c r="K2" s="121"/>
      <c r="L2" s="121"/>
      <c r="AE2" s="2">
        <v>1</v>
      </c>
      <c r="AG2" s="122" t="s">
        <v>179</v>
      </c>
      <c r="AH2" s="122" t="s">
        <v>170</v>
      </c>
      <c r="AI2" s="122" t="s">
        <v>171</v>
      </c>
      <c r="AJ2" s="117" t="s">
        <v>177</v>
      </c>
      <c r="AK2" s="117" t="s">
        <v>178</v>
      </c>
      <c r="AM2" s="107" t="str">
        <f>BUNDESLIGA!V685</f>
        <v>1. FC Köln</v>
      </c>
      <c r="AN2" s="107" t="str">
        <f>BUNDESLIGA!W685</f>
        <v>11</v>
      </c>
      <c r="AP2" s="142">
        <f>COUNTIF($T6:$T36,"G")</f>
        <v>2</v>
      </c>
      <c r="AQ2" s="142" t="s">
        <v>184</v>
      </c>
      <c r="AR2" s="142" t="str">
        <f>K6</f>
        <v>RB Leipzig</v>
      </c>
    </row>
    <row r="3" spans="2:44" x14ac:dyDescent="0.25">
      <c r="B3" s="131"/>
      <c r="C3" s="181" t="s">
        <v>168</v>
      </c>
      <c r="D3" s="181"/>
      <c r="E3" s="181"/>
      <c r="F3" s="181"/>
      <c r="G3" s="123">
        <v>1</v>
      </c>
      <c r="J3" s="182" t="s">
        <v>81</v>
      </c>
      <c r="K3" s="182"/>
      <c r="L3" s="117"/>
      <c r="M3" s="182" t="s">
        <v>83</v>
      </c>
      <c r="N3" s="182"/>
      <c r="O3" s="182"/>
      <c r="P3" s="125"/>
      <c r="Q3" s="118">
        <f>COUNT(N6:N37)</f>
        <v>4</v>
      </c>
      <c r="W3" s="9" t="s">
        <v>4</v>
      </c>
      <c r="X3" s="9" t="s">
        <v>165</v>
      </c>
      <c r="Y3" s="9" t="s">
        <v>188</v>
      </c>
      <c r="Z3" s="9" t="s">
        <v>187</v>
      </c>
      <c r="AA3" s="147"/>
      <c r="AB3" s="148" t="s">
        <v>161</v>
      </c>
      <c r="AE3" s="2">
        <v>2</v>
      </c>
      <c r="AG3" s="117" t="s">
        <v>77</v>
      </c>
      <c r="AH3" s="117" t="s">
        <v>82</v>
      </c>
      <c r="AI3" s="117" t="s">
        <v>81</v>
      </c>
      <c r="AJ3" s="124">
        <v>1</v>
      </c>
      <c r="AK3" s="124">
        <v>2</v>
      </c>
      <c r="AM3" s="107" t="str">
        <f>BUNDESLIGA!V686</f>
        <v>1. FC Union Berlin</v>
      </c>
      <c r="AN3" s="107" t="str">
        <f>BUNDESLIGA!W686</f>
        <v>10</v>
      </c>
      <c r="AP3" s="142">
        <f>COUNTIF($T6:$T36,"N")</f>
        <v>1</v>
      </c>
      <c r="AQ3" s="142" t="s">
        <v>185</v>
      </c>
    </row>
    <row r="4" spans="2:44" x14ac:dyDescent="0.25">
      <c r="B4" s="118" t="str">
        <f ca="1">VLOOKUP(C4,AM2:AN19,2,0)</f>
        <v>1</v>
      </c>
      <c r="C4" s="118" t="str">
        <f ca="1">INDEX(INDIRECT("journee_"&amp;$G$3),ROW()-3,COLUMN()-2)</f>
        <v>Bayern München</v>
      </c>
      <c r="D4" s="132">
        <f t="shared" ref="D4:F12" ca="1" si="0">INDEX(INDIRECT("journee_"&amp;$G$3),ROW()-3,COLUMN()-2)</f>
        <v>2</v>
      </c>
      <c r="E4" s="132">
        <f t="shared" ca="1" si="0"/>
        <v>2</v>
      </c>
      <c r="F4" s="132" t="str">
        <f t="shared" ca="1" si="0"/>
        <v>Hertha BSC</v>
      </c>
      <c r="G4" s="118" t="str">
        <f ca="1">VLOOKUP(F4,AM2:AN19,2,0)</f>
        <v>14</v>
      </c>
      <c r="L4" s="119"/>
      <c r="P4" s="2"/>
      <c r="W4" s="143">
        <v>1</v>
      </c>
      <c r="X4" s="11" t="str">
        <f>IF(VLOOKUP(W4,A$50:D$149,4,FALSE)&lt;&gt;0,VLOOKUP(W4,A$50:D$149,3,FALSE),"")</f>
        <v>2-1</v>
      </c>
      <c r="Y4" s="11">
        <f>IF(X4&lt;&gt;"",VLOOKUP(W4,A$50:D$149,4,FALSE),"")</f>
        <v>21</v>
      </c>
      <c r="Z4" s="146">
        <f>IF(X4&lt;&gt;"",Y4/SUM(Y$4:Y$37),"")</f>
        <v>9.8130841121495324E-2</v>
      </c>
      <c r="AA4" s="142"/>
      <c r="AE4" s="2">
        <v>3</v>
      </c>
      <c r="AG4" s="117" t="s">
        <v>76</v>
      </c>
      <c r="AH4" s="117" t="s">
        <v>82</v>
      </c>
      <c r="AI4" s="117" t="s">
        <v>81</v>
      </c>
      <c r="AJ4" s="124">
        <v>0</v>
      </c>
      <c r="AK4" s="124">
        <v>1</v>
      </c>
      <c r="AM4" s="107" t="str">
        <f>BUNDESLIGA!V687</f>
        <v>1. FSV Mainz 05</v>
      </c>
      <c r="AN4" s="107" t="str">
        <f>BUNDESLIGA!W687</f>
        <v>15</v>
      </c>
      <c r="AP4" s="142">
        <f>COUNTIF($U6:$U36,"G")</f>
        <v>1</v>
      </c>
      <c r="AQ4" s="142" t="s">
        <v>184</v>
      </c>
      <c r="AR4" s="142" t="str">
        <f>M6</f>
        <v>Bayer Leverkusen</v>
      </c>
    </row>
    <row r="5" spans="2:44" x14ac:dyDescent="0.25">
      <c r="B5" s="118" t="str">
        <f ca="1">VLOOKUP(C5,AM2:AN19,2,0)</f>
        <v>3</v>
      </c>
      <c r="C5" s="132" t="str">
        <f t="shared" ref="C5:C12" ca="1" si="1">INDEX(INDIRECT("journee_"&amp;$G$3),ROW()-3,COLUMN()-2)</f>
        <v>Borussia Dortmund</v>
      </c>
      <c r="D5" s="132">
        <f t="shared" ca="1" si="0"/>
        <v>5</v>
      </c>
      <c r="E5" s="132">
        <f t="shared" ca="1" si="0"/>
        <v>1</v>
      </c>
      <c r="F5" s="132" t="str">
        <f t="shared" ca="1" si="0"/>
        <v>FC Augsburg</v>
      </c>
      <c r="G5" s="118" t="str">
        <f ca="1">VLOOKUP(F5,AM2:AN19,2,0)</f>
        <v>13</v>
      </c>
      <c r="J5" s="120" t="s">
        <v>180</v>
      </c>
      <c r="K5" s="120" t="s">
        <v>181</v>
      </c>
      <c r="L5" s="120"/>
      <c r="M5" s="120" t="s">
        <v>182</v>
      </c>
      <c r="N5" s="182" t="s">
        <v>183</v>
      </c>
      <c r="O5" s="182"/>
      <c r="P5" s="125"/>
      <c r="W5" s="11">
        <v>2</v>
      </c>
      <c r="X5" s="11" t="str">
        <f t="shared" ref="X5:X37" si="2">IF(VLOOKUP(W5,A$50:D$149,4,FALSE)&lt;&gt;0,VLOOKUP(W5,A$50:D$149,3,FALSE),"")</f>
        <v>1-1</v>
      </c>
      <c r="Y5" s="11">
        <f t="shared" ref="Y5:Y37" si="3">IF(X5&lt;&gt;"",VLOOKUP(W5,A$50:D$149,4,FALSE),"")</f>
        <v>21</v>
      </c>
      <c r="Z5" s="146">
        <f t="shared" ref="Z5:Z37" si="4">IF(X5&lt;&gt;"",Y5/SUM(Y$4:Y$37),"")</f>
        <v>9.8130841121495324E-2</v>
      </c>
      <c r="AA5" s="142"/>
      <c r="AE5" s="2">
        <v>4</v>
      </c>
      <c r="AG5" s="117" t="s">
        <v>75</v>
      </c>
      <c r="AH5" s="117" t="s">
        <v>82</v>
      </c>
      <c r="AI5" s="117" t="s">
        <v>81</v>
      </c>
      <c r="AJ5" s="124">
        <v>1</v>
      </c>
      <c r="AK5" s="124">
        <v>2</v>
      </c>
      <c r="AM5" s="107" t="str">
        <f>BUNDESLIGA!V688</f>
        <v>1899 Hoffenheim</v>
      </c>
      <c r="AN5" s="107" t="str">
        <f>BUNDESLIGA!W688</f>
        <v>8</v>
      </c>
    </row>
    <row r="6" spans="2:44" x14ac:dyDescent="0.25">
      <c r="B6" s="118" t="str">
        <f ca="1">VLOOKUP(C6,AM2:AN19,2,0)</f>
        <v>5</v>
      </c>
      <c r="C6" s="132" t="str">
        <f t="shared" ca="1" si="1"/>
        <v>Bayer Leverkusen</v>
      </c>
      <c r="D6" s="132">
        <f t="shared" ca="1" si="0"/>
        <v>3</v>
      </c>
      <c r="E6" s="132">
        <f t="shared" ca="1" si="0"/>
        <v>2</v>
      </c>
      <c r="F6" s="132" t="str">
        <f t="shared" ca="1" si="0"/>
        <v>SC Paderborn 07</v>
      </c>
      <c r="G6" s="118" t="str">
        <f ca="1">VLOOKUP(F6,AM2:AN19,2,0)</f>
        <v>18</v>
      </c>
      <c r="J6" s="127" t="str">
        <f t="array" ref="J6">IFERROR(INDEX(SAISON!$B$3:$B$1838,SMALL(IF((SAISON!$D$3:$D$1838='Resultat Journée'!$J$3)*(SAISON!$G$3:$G$1838='Resultat Journée'!$M$3),ROW(SAISON!$B$3:$B$1838)-2),ROWS($1:1))),"")</f>
        <v>2016/2017</v>
      </c>
      <c r="K6" s="127" t="str">
        <f>IF($J6="","",$J$3)</f>
        <v>RB Leipzig</v>
      </c>
      <c r="L6" s="127" t="str">
        <f>IF(OR(N6="",O6=""),"",IF(N6&gt;O6,"-",IF(N6&lt;O6,"-","-")))</f>
        <v>-</v>
      </c>
      <c r="M6" s="127" t="str">
        <f>IF($J6="","",$M$3)</f>
        <v>Bayer Leverkusen</v>
      </c>
      <c r="N6" s="127">
        <f t="array" ref="N6">IFERROR(INDEX(SAISON!E$3:E$1838,SMALL(IF((SAISON!$D$3:$D$1838='Resultat Journée'!$J$3)*(SAISON!$G$3:$G$1838='Resultat Journée'!$M$3),ROW(SAISON!$B$3:$B$1838)-2),ROWS($1:1))),"")</f>
        <v>1</v>
      </c>
      <c r="O6" s="127">
        <f t="array" ref="O6">IFERROR(INDEX(SAISON!F$3:F$1838,SMALL(IF((SAISON!$D$3:$D$1838='Resultat Journée'!$J$3)*(SAISON!$G$3:$G$1838='Resultat Journée'!$M$3),ROW(SAISON!$B$3:$B$1838)-2),ROWS($1:1))),"")</f>
        <v>0</v>
      </c>
      <c r="P6" s="117"/>
      <c r="R6" s="107">
        <f>IF(N6="","",IF(N6&gt;O6,3,IF(N6=O6,1,0)))</f>
        <v>3</v>
      </c>
      <c r="S6" s="107">
        <f>IF(O6="","",IF(O6&gt;N6,3,IF(O6=N6,1,0)))</f>
        <v>0</v>
      </c>
      <c r="T6" s="107" t="str">
        <f>IF(R6="","",IF(R6=1,"N",IF(R6=0,"P",IF(R6=3,"G"))))</f>
        <v>G</v>
      </c>
      <c r="U6" s="107" t="str">
        <f>IF(S6="","",IF(S6=1,"N",IF(S6=0,"P",IF(S6=3,"G"))))</f>
        <v>P</v>
      </c>
      <c r="W6" s="11">
        <v>3</v>
      </c>
      <c r="X6" s="11" t="str">
        <f t="shared" si="2"/>
        <v>1-2</v>
      </c>
      <c r="Y6" s="11">
        <f t="shared" si="3"/>
        <v>16</v>
      </c>
      <c r="Z6" s="146">
        <f t="shared" si="4"/>
        <v>7.476635514018691E-2</v>
      </c>
      <c r="AA6" s="142"/>
      <c r="AE6" s="2">
        <v>5</v>
      </c>
      <c r="AM6" s="107" t="str">
        <f>BUNDESLIGA!V689</f>
        <v>Bayer Leverkusen</v>
      </c>
      <c r="AN6" s="107" t="str">
        <f>BUNDESLIGA!W689</f>
        <v>5</v>
      </c>
    </row>
    <row r="7" spans="2:44" x14ac:dyDescent="0.25">
      <c r="B7" s="118" t="str">
        <f ca="1">VLOOKUP(C7,AM2:AN19,2,0)</f>
        <v>7</v>
      </c>
      <c r="C7" s="132" t="str">
        <f t="shared" ca="1" si="1"/>
        <v>VfL Wolfsburg</v>
      </c>
      <c r="D7" s="132">
        <f t="shared" ca="1" si="0"/>
        <v>2</v>
      </c>
      <c r="E7" s="132">
        <f t="shared" ca="1" si="0"/>
        <v>1</v>
      </c>
      <c r="F7" s="132" t="str">
        <f t="shared" ca="1" si="0"/>
        <v>1. FC Köln</v>
      </c>
      <c r="G7" s="118" t="str">
        <f ca="1">VLOOKUP(F7,AM2:AN19,2,0)</f>
        <v>11</v>
      </c>
      <c r="J7" s="127" t="str">
        <f t="array" ref="J7">IFERROR(INDEX(SAISON!$B$3:$B$1838,SMALL(IF((SAISON!$D$3:$D$1838='Resultat Journée'!$J$3)*(SAISON!$G$3:$G$1838='Resultat Journée'!$M$3),ROW(SAISON!$B$3:$B$1838)-2),ROWS($1:2))),"")</f>
        <v>2017/2018</v>
      </c>
      <c r="K7" s="127" t="str">
        <f t="shared" ref="K7:K36" si="5">IF($J7="","",$J$3)</f>
        <v>RB Leipzig</v>
      </c>
      <c r="L7" s="127" t="str">
        <f t="shared" ref="L7:L36" si="6">IF(OR(N7="",O7=""),"",IF(N7&gt;O7,"-",IF(N7&lt;O7,"-","-")))</f>
        <v>-</v>
      </c>
      <c r="M7" s="127" t="str">
        <f t="shared" ref="M7:M36" si="7">IF($J7="","",$M$3)</f>
        <v>Bayer Leverkusen</v>
      </c>
      <c r="N7" s="127">
        <f t="array" ref="N7">IFERROR(INDEX(SAISON!E$3:E$1838,SMALL(IF((SAISON!$D$3:$D$1838='Resultat Journée'!$J$3)*(SAISON!$G$3:$G$1838='Resultat Journée'!$M$3),ROW(SAISON!$B$3:$B$1838)-2),ROWS($1:2))),"")</f>
        <v>1</v>
      </c>
      <c r="O7" s="127">
        <f t="array" ref="O7">IFERROR(INDEX(SAISON!F$3:F$1838,SMALL(IF((SAISON!$D$3:$D$1838='Resultat Journée'!$J$3)*(SAISON!$G$3:$G$1838='Resultat Journée'!$M$3),ROW(SAISON!$B$3:$B$1838)-2),ROWS($1:2))),"")</f>
        <v>4</v>
      </c>
      <c r="P7" s="117"/>
      <c r="R7" s="107">
        <f t="shared" ref="R7:R36" si="8">IF(N7="","",IF(N7&gt;O7,3,IF(N7=O7,1,0)))</f>
        <v>0</v>
      </c>
      <c r="S7" s="107">
        <f t="shared" ref="S7:S36" si="9">IF(O7="","",IF(O7&gt;N7,3,IF(O7=N7,1,0)))</f>
        <v>3</v>
      </c>
      <c r="T7" s="107" t="str">
        <f t="shared" ref="T7:T36" si="10">IF(R7="","",IF(R7=1,"N",IF(R7=0,"P",IF(R7=3,"G"))))</f>
        <v>P</v>
      </c>
      <c r="U7" s="107" t="str">
        <f t="shared" ref="U7:U36" si="11">IF(S7="","",IF(S7=1,"N",IF(S7=0,"P",IF(S7=3,"G"))))</f>
        <v>G</v>
      </c>
      <c r="W7" s="143">
        <v>4</v>
      </c>
      <c r="X7" s="11" t="str">
        <f t="shared" si="2"/>
        <v>2-0</v>
      </c>
      <c r="Y7" s="11">
        <f t="shared" si="3"/>
        <v>15</v>
      </c>
      <c r="Z7" s="146">
        <f t="shared" si="4"/>
        <v>7.0093457943925228E-2</v>
      </c>
      <c r="AA7" s="142"/>
      <c r="AE7" s="2">
        <v>6</v>
      </c>
      <c r="AM7" s="107" t="str">
        <f>BUNDESLIGA!V690</f>
        <v>Bayern München</v>
      </c>
      <c r="AN7" s="107" t="str">
        <f>BUNDESLIGA!W690</f>
        <v>1</v>
      </c>
    </row>
    <row r="8" spans="2:44" x14ac:dyDescent="0.25">
      <c r="B8" s="118" t="str">
        <f ca="1">VLOOKUP(C8,AM2:AN19,2,0)</f>
        <v>17</v>
      </c>
      <c r="C8" s="132" t="str">
        <f t="shared" ca="1" si="1"/>
        <v>Werder Bremen</v>
      </c>
      <c r="D8" s="132">
        <f t="shared" ca="1" si="0"/>
        <v>1</v>
      </c>
      <c r="E8" s="132">
        <f t="shared" ca="1" si="0"/>
        <v>3</v>
      </c>
      <c r="F8" s="132" t="str">
        <f t="shared" ca="1" si="0"/>
        <v>Fortuna Düsseldorf</v>
      </c>
      <c r="G8" s="118" t="str">
        <f ca="1">VLOOKUP(F8,AM2:AN19,2,0)</f>
        <v>16</v>
      </c>
      <c r="J8" s="127" t="str">
        <f t="array" ref="J8">IFERROR(INDEX(SAISON!$B$3:$B$1838,SMALL(IF((SAISON!$D$3:$D$1838='Resultat Journée'!$J$3)*(SAISON!$G$3:$G$1838='Resultat Journée'!$M$3),ROW(SAISON!$B$3:$B$1838)-2),ROWS($1:3))),"")</f>
        <v>2018/2019</v>
      </c>
      <c r="K8" s="127" t="str">
        <f t="shared" si="5"/>
        <v>RB Leipzig</v>
      </c>
      <c r="L8" s="127" t="str">
        <f t="shared" si="6"/>
        <v>-</v>
      </c>
      <c r="M8" s="127" t="str">
        <f t="shared" si="7"/>
        <v>Bayer Leverkusen</v>
      </c>
      <c r="N8" s="127">
        <f t="array" ref="N8">IFERROR(INDEX(SAISON!E$3:E$1838,SMALL(IF((SAISON!$D$3:$D$1838='Resultat Journée'!$J$3)*(SAISON!$G$3:$G$1838='Resultat Journée'!$M$3),ROW(SAISON!$B$3:$B$1838)-2),ROWS($1:3))),"")</f>
        <v>3</v>
      </c>
      <c r="O8" s="127">
        <f t="array" ref="O8">IFERROR(INDEX(SAISON!F$3:F$1838,SMALL(IF((SAISON!$D$3:$D$1838='Resultat Journée'!$J$3)*(SAISON!$G$3:$G$1838='Resultat Journée'!$M$3),ROW(SAISON!$B$3:$B$1838)-2),ROWS($1:3))),"")</f>
        <v>0</v>
      </c>
      <c r="P8" s="117"/>
      <c r="R8" s="107">
        <f t="shared" si="8"/>
        <v>3</v>
      </c>
      <c r="S8" s="107">
        <f t="shared" si="9"/>
        <v>0</v>
      </c>
      <c r="T8" s="107" t="str">
        <f t="shared" si="10"/>
        <v>G</v>
      </c>
      <c r="U8" s="107" t="str">
        <f t="shared" si="11"/>
        <v>P</v>
      </c>
      <c r="W8" s="11">
        <v>5</v>
      </c>
      <c r="X8" s="11" t="str">
        <f t="shared" si="2"/>
        <v>2-2</v>
      </c>
      <c r="Y8" s="11">
        <f t="shared" si="3"/>
        <v>12</v>
      </c>
      <c r="Z8" s="146">
        <f t="shared" si="4"/>
        <v>5.6074766355140186E-2</v>
      </c>
      <c r="AA8" s="13"/>
      <c r="AE8" s="2">
        <v>7</v>
      </c>
      <c r="AM8" s="107" t="str">
        <f>BUNDESLIGA!V691</f>
        <v>Bor. Mönchengladbach</v>
      </c>
      <c r="AN8" s="107" t="str">
        <f>BUNDESLIGA!W691</f>
        <v>4</v>
      </c>
    </row>
    <row r="9" spans="2:44" x14ac:dyDescent="0.25">
      <c r="B9" s="118" t="str">
        <f ca="1">VLOOKUP(C9,AM2:AN19,2,0)</f>
        <v>9</v>
      </c>
      <c r="C9" s="132" t="str">
        <f t="shared" ca="1" si="1"/>
        <v>SC Freiburg</v>
      </c>
      <c r="D9" s="132">
        <f t="shared" ca="1" si="0"/>
        <v>3</v>
      </c>
      <c r="E9" s="132">
        <f t="shared" ca="1" si="0"/>
        <v>0</v>
      </c>
      <c r="F9" s="132" t="str">
        <f t="shared" ca="1" si="0"/>
        <v>1. FSV Mainz 05</v>
      </c>
      <c r="G9" s="118" t="str">
        <f ca="1">VLOOKUP(F9,AM2:AN19,2,0)</f>
        <v>15</v>
      </c>
      <c r="J9" s="127" t="str">
        <f t="array" ref="J9">IFERROR(INDEX(SAISON!$B$3:$B$1838,SMALL(IF((SAISON!$D$3:$D$1838='Resultat Journée'!$J$3)*(SAISON!$G$3:$G$1838='Resultat Journée'!$M$3),ROW(SAISON!$B$3:$B$1838)-2),ROWS($1:4))),"")</f>
        <v>2019/2020</v>
      </c>
      <c r="K9" s="127" t="str">
        <f t="shared" si="5"/>
        <v>RB Leipzig</v>
      </c>
      <c r="L9" s="127" t="str">
        <f t="shared" si="6"/>
        <v>-</v>
      </c>
      <c r="M9" s="127" t="str">
        <f t="shared" si="7"/>
        <v>Bayer Leverkusen</v>
      </c>
      <c r="N9" s="127">
        <f t="array" ref="N9">IFERROR(INDEX(SAISON!E$3:E$1838,SMALL(IF((SAISON!$D$3:$D$1838='Resultat Journée'!$J$3)*(SAISON!$G$3:$G$1838='Resultat Journée'!$M$3),ROW(SAISON!$B$3:$B$1838)-2),ROWS($1:4))),"")</f>
        <v>0</v>
      </c>
      <c r="O9" s="127">
        <f t="array" ref="O9">IFERROR(INDEX(SAISON!F$3:F$1838,SMALL(IF((SAISON!$D$3:$D$1838='Resultat Journée'!$J$3)*(SAISON!$G$3:$G$1838='Resultat Journée'!$M$3),ROW(SAISON!$B$3:$B$1838)-2),ROWS($1:4))),"")</f>
        <v>0</v>
      </c>
      <c r="P9" s="117"/>
      <c r="R9" s="107">
        <f t="shared" si="8"/>
        <v>1</v>
      </c>
      <c r="S9" s="107">
        <f t="shared" si="9"/>
        <v>1</v>
      </c>
      <c r="T9" s="107" t="str">
        <f t="shared" si="10"/>
        <v>N</v>
      </c>
      <c r="U9" s="107" t="str">
        <f t="shared" si="11"/>
        <v>N</v>
      </c>
      <c r="W9" s="11">
        <v>6</v>
      </c>
      <c r="X9" s="11" t="str">
        <f t="shared" si="2"/>
        <v>1-0</v>
      </c>
      <c r="Y9" s="11">
        <f t="shared" si="3"/>
        <v>12</v>
      </c>
      <c r="Z9" s="146">
        <f t="shared" si="4"/>
        <v>5.6074766355140186E-2</v>
      </c>
      <c r="AA9" s="8"/>
      <c r="AE9" s="2">
        <v>8</v>
      </c>
      <c r="AM9" s="107" t="str">
        <f>BUNDESLIGA!V692</f>
        <v>Borussia Dortmund</v>
      </c>
      <c r="AN9" s="107" t="str">
        <f>BUNDESLIGA!W692</f>
        <v>3</v>
      </c>
    </row>
    <row r="10" spans="2:44" x14ac:dyDescent="0.25">
      <c r="B10" s="118" t="str">
        <f ca="1">VLOOKUP(C10,AM2:AN19,2,0)</f>
        <v>4</v>
      </c>
      <c r="C10" s="132" t="str">
        <f t="shared" ca="1" si="1"/>
        <v>Bor. Mönchengladbach</v>
      </c>
      <c r="D10" s="132">
        <f t="shared" ca="1" si="0"/>
        <v>0</v>
      </c>
      <c r="E10" s="132">
        <f t="shared" ca="1" si="0"/>
        <v>0</v>
      </c>
      <c r="F10" s="132" t="str">
        <f t="shared" ca="1" si="0"/>
        <v>FC Schalke 04</v>
      </c>
      <c r="G10" s="118" t="str">
        <f ca="1">VLOOKUP(F10,AM2:AN19,2,0)</f>
        <v>6</v>
      </c>
      <c r="J10" s="127" t="str">
        <f t="array" ref="J10">IFERROR(INDEX(SAISON!$B$3:$B$1838,SMALL(IF((SAISON!$D$3:$D$1838='Resultat Journée'!$J$3)*(SAISON!$G$3:$G$1838='Resultat Journée'!$M$3),ROW(SAISON!$B$3:$B$1838)-2),ROWS($1:5))),"")</f>
        <v/>
      </c>
      <c r="K10" s="127" t="str">
        <f t="shared" si="5"/>
        <v/>
      </c>
      <c r="L10" s="127" t="str">
        <f t="shared" si="6"/>
        <v/>
      </c>
      <c r="M10" s="127" t="str">
        <f t="shared" si="7"/>
        <v/>
      </c>
      <c r="N10" s="127" t="str">
        <f t="array" ref="N10">IFERROR(INDEX(SAISON!E$3:E$1838,SMALL(IF((SAISON!$D$3:$D$1838='Resultat Journée'!$J$3)*(SAISON!$G$3:$G$1838='Resultat Journée'!$M$3),ROW(SAISON!$B$3:$B$1838)-2),ROWS($1:5))),"")</f>
        <v/>
      </c>
      <c r="O10" s="127" t="str">
        <f t="array" ref="O10">IFERROR(INDEX(SAISON!F$3:F$1838,SMALL(IF((SAISON!$D$3:$D$1838='Resultat Journée'!$J$3)*(SAISON!$G$3:$G$1838='Resultat Journée'!$M$3),ROW(SAISON!$B$3:$B$1838)-2),ROWS($1:5))),"")</f>
        <v/>
      </c>
      <c r="P10" s="117"/>
      <c r="R10" s="107" t="str">
        <f t="shared" si="8"/>
        <v/>
      </c>
      <c r="S10" s="107" t="str">
        <f t="shared" si="9"/>
        <v/>
      </c>
      <c r="T10" s="107" t="str">
        <f t="shared" si="10"/>
        <v/>
      </c>
      <c r="U10" s="107" t="str">
        <f t="shared" si="11"/>
        <v/>
      </c>
      <c r="W10" s="143">
        <v>7</v>
      </c>
      <c r="X10" s="11" t="str">
        <f t="shared" si="2"/>
        <v>3-0</v>
      </c>
      <c r="Y10" s="11">
        <f t="shared" si="3"/>
        <v>10</v>
      </c>
      <c r="Z10" s="146">
        <f t="shared" si="4"/>
        <v>4.6728971962616821E-2</v>
      </c>
      <c r="AA10" s="8"/>
      <c r="AE10" s="2">
        <v>9</v>
      </c>
      <c r="AM10" s="107" t="str">
        <f>BUNDESLIGA!V693</f>
        <v>Eintracht Frankfurt</v>
      </c>
      <c r="AN10" s="107" t="str">
        <f>BUNDESLIGA!W693</f>
        <v>12</v>
      </c>
    </row>
    <row r="11" spans="2:44" x14ac:dyDescent="0.25">
      <c r="B11" s="118" t="str">
        <f ca="1">VLOOKUP(C11,AM2:AN19,2,0)</f>
        <v>12</v>
      </c>
      <c r="C11" s="132" t="str">
        <f t="shared" ca="1" si="1"/>
        <v>Eintracht Frankfurt</v>
      </c>
      <c r="D11" s="132">
        <f t="shared" ca="1" si="0"/>
        <v>1</v>
      </c>
      <c r="E11" s="132">
        <f t="shared" ca="1" si="0"/>
        <v>0</v>
      </c>
      <c r="F11" s="132" t="str">
        <f t="shared" ca="1" si="0"/>
        <v>1899 Hoffenheim</v>
      </c>
      <c r="G11" s="118" t="str">
        <f ca="1">VLOOKUP(F11,AM2:AN19,2,0)</f>
        <v>8</v>
      </c>
      <c r="J11" s="127" t="str">
        <f t="array" ref="J11">IFERROR(INDEX(SAISON!$B$3:$B$1838,SMALL(IF((SAISON!$D$3:$D$1838='Resultat Journée'!$J$3)*(SAISON!$G$3:$G$1838='Resultat Journée'!$M$3),ROW(SAISON!$B$3:$B$1838)-2),ROWS($1:6))),"")</f>
        <v/>
      </c>
      <c r="K11" s="127" t="str">
        <f t="shared" si="5"/>
        <v/>
      </c>
      <c r="L11" s="127" t="str">
        <f t="shared" si="6"/>
        <v/>
      </c>
      <c r="M11" s="127" t="str">
        <f t="shared" si="7"/>
        <v/>
      </c>
      <c r="N11" s="127" t="str">
        <f t="array" ref="N11">IFERROR(INDEX(SAISON!E$3:E$1838,SMALL(IF((SAISON!$D$3:$D$1838='Resultat Journée'!$J$3)*(SAISON!$G$3:$G$1838='Resultat Journée'!$M$3),ROW(SAISON!$B$3:$B$1838)-2),ROWS($1:6))),"")</f>
        <v/>
      </c>
      <c r="O11" s="127" t="str">
        <f t="array" ref="O11">IFERROR(INDEX(SAISON!F$3:F$1838,SMALL(IF((SAISON!$D$3:$D$1838='Resultat Journée'!$J$3)*(SAISON!$G$3:$G$1838='Resultat Journée'!$M$3),ROW(SAISON!$B$3:$B$1838)-2),ROWS($1:6))),"")</f>
        <v/>
      </c>
      <c r="P11" s="117"/>
      <c r="R11" s="107" t="str">
        <f t="shared" si="8"/>
        <v/>
      </c>
      <c r="S11" s="107" t="str">
        <f t="shared" si="9"/>
        <v/>
      </c>
      <c r="T11" s="107" t="str">
        <f t="shared" si="10"/>
        <v/>
      </c>
      <c r="U11" s="107" t="str">
        <f t="shared" si="11"/>
        <v/>
      </c>
      <c r="W11" s="11">
        <v>8</v>
      </c>
      <c r="X11" s="11" t="str">
        <f t="shared" si="2"/>
        <v>1-3</v>
      </c>
      <c r="Y11" s="11">
        <f t="shared" si="3"/>
        <v>10</v>
      </c>
      <c r="Z11" s="146">
        <f t="shared" si="4"/>
        <v>4.6728971962616821E-2</v>
      </c>
      <c r="AA11" s="8"/>
      <c r="AE11" s="2">
        <v>10</v>
      </c>
      <c r="AM11" s="107" t="str">
        <f>BUNDESLIGA!V694</f>
        <v>FC Augsburg</v>
      </c>
      <c r="AN11" s="107" t="str">
        <f>BUNDESLIGA!W694</f>
        <v>13</v>
      </c>
    </row>
    <row r="12" spans="2:44" x14ac:dyDescent="0.25">
      <c r="B12" s="118" t="str">
        <f ca="1">VLOOKUP(C12,AM2:AN19,2,0)</f>
        <v>10</v>
      </c>
      <c r="C12" s="132" t="str">
        <f t="shared" ca="1" si="1"/>
        <v>1. FC Union Berlin</v>
      </c>
      <c r="D12" s="132">
        <f t="shared" ca="1" si="0"/>
        <v>0</v>
      </c>
      <c r="E12" s="132">
        <f t="shared" ca="1" si="0"/>
        <v>4</v>
      </c>
      <c r="F12" s="132" t="str">
        <f t="shared" ca="1" si="0"/>
        <v>RB Leipzig</v>
      </c>
      <c r="G12" s="118" t="str">
        <f ca="1">VLOOKUP(F12,AM2:AN19,2,0)</f>
        <v>2</v>
      </c>
      <c r="J12" s="127" t="str">
        <f t="array" ref="J12">IFERROR(INDEX(SAISON!$B$3:$B$1838,SMALL(IF((SAISON!$D$3:$D$1838='Resultat Journée'!$J$3)*(SAISON!$G$3:$G$1838='Resultat Journée'!$M$3),ROW(SAISON!$B$3:$B$1838)-2),ROWS($1:7))),"")</f>
        <v/>
      </c>
      <c r="K12" s="127" t="str">
        <f t="shared" si="5"/>
        <v/>
      </c>
      <c r="L12" s="127" t="str">
        <f t="shared" si="6"/>
        <v/>
      </c>
      <c r="M12" s="127" t="str">
        <f t="shared" si="7"/>
        <v/>
      </c>
      <c r="N12" s="127" t="str">
        <f t="array" ref="N12">IFERROR(INDEX(SAISON!E$3:E$1838,SMALL(IF((SAISON!$D$3:$D$1838='Resultat Journée'!$J$3)*(SAISON!$G$3:$G$1838='Resultat Journée'!$M$3),ROW(SAISON!$B$3:$B$1838)-2),ROWS($1:7))),"")</f>
        <v/>
      </c>
      <c r="O12" s="127" t="str">
        <f t="array" ref="O12">IFERROR(INDEX(SAISON!F$3:F$1838,SMALL(IF((SAISON!$D$3:$D$1838='Resultat Journée'!$J$3)*(SAISON!$G$3:$G$1838='Resultat Journée'!$M$3),ROW(SAISON!$B$3:$B$1838)-2),ROWS($1:7))),"")</f>
        <v/>
      </c>
      <c r="P12" s="117"/>
      <c r="R12" s="107" t="str">
        <f t="shared" si="8"/>
        <v/>
      </c>
      <c r="S12" s="107" t="str">
        <f t="shared" si="9"/>
        <v/>
      </c>
      <c r="T12" s="107" t="str">
        <f t="shared" si="10"/>
        <v/>
      </c>
      <c r="U12" s="107" t="str">
        <f t="shared" si="11"/>
        <v/>
      </c>
      <c r="W12" s="11">
        <v>9</v>
      </c>
      <c r="X12" s="11" t="str">
        <f t="shared" si="2"/>
        <v>3-1</v>
      </c>
      <c r="Y12" s="11">
        <f t="shared" si="3"/>
        <v>9</v>
      </c>
      <c r="Z12" s="146">
        <f t="shared" si="4"/>
        <v>4.2056074766355138E-2</v>
      </c>
      <c r="AA12" s="142"/>
      <c r="AE12" s="2">
        <v>11</v>
      </c>
      <c r="AM12" s="107" t="str">
        <f>BUNDESLIGA!V695</f>
        <v>FC Schalke 04</v>
      </c>
      <c r="AN12" s="107" t="str">
        <f>BUNDESLIGA!W695</f>
        <v>6</v>
      </c>
    </row>
    <row r="13" spans="2:44" x14ac:dyDescent="0.25">
      <c r="B13" s="139"/>
      <c r="C13" s="139"/>
      <c r="D13" s="139"/>
      <c r="E13" s="139"/>
      <c r="F13" s="139"/>
      <c r="G13" s="139"/>
      <c r="J13" s="127" t="str">
        <f t="array" ref="J13">IFERROR(INDEX(SAISON!$B$3:$B$1838,SMALL(IF((SAISON!$D$3:$D$1838='Resultat Journée'!$J$3)*(SAISON!$G$3:$G$1838='Resultat Journée'!$M$3),ROW(SAISON!$B$3:$B$1838)-2),ROWS($1:8))),"")</f>
        <v/>
      </c>
      <c r="K13" s="127" t="str">
        <f t="shared" si="5"/>
        <v/>
      </c>
      <c r="L13" s="127" t="str">
        <f t="shared" si="6"/>
        <v/>
      </c>
      <c r="M13" s="127" t="str">
        <f t="shared" si="7"/>
        <v/>
      </c>
      <c r="N13" s="127" t="str">
        <f t="array" ref="N13">IFERROR(INDEX(SAISON!E$3:E$1838,SMALL(IF((SAISON!$D$3:$D$1838='Resultat Journée'!$J$3)*(SAISON!$G$3:$G$1838='Resultat Journée'!$M$3),ROW(SAISON!$B$3:$B$1838)-2),ROWS($1:8))),"")</f>
        <v/>
      </c>
      <c r="O13" s="127" t="str">
        <f t="array" ref="O13">IFERROR(INDEX(SAISON!F$3:F$1838,SMALL(IF((SAISON!$D$3:$D$1838='Resultat Journée'!$J$3)*(SAISON!$G$3:$G$1838='Resultat Journée'!$M$3),ROW(SAISON!$B$3:$B$1838)-2),ROWS($1:8))),"")</f>
        <v/>
      </c>
      <c r="P13" s="117"/>
      <c r="R13" s="107" t="str">
        <f t="shared" si="8"/>
        <v/>
      </c>
      <c r="S13" s="107" t="str">
        <f t="shared" si="9"/>
        <v/>
      </c>
      <c r="T13" s="107" t="str">
        <f t="shared" si="10"/>
        <v/>
      </c>
      <c r="U13" s="107" t="str">
        <f t="shared" si="11"/>
        <v/>
      </c>
      <c r="W13" s="143">
        <v>10</v>
      </c>
      <c r="X13" s="11" t="str">
        <f t="shared" si="2"/>
        <v>2-3</v>
      </c>
      <c r="Y13" s="11">
        <f t="shared" si="3"/>
        <v>9</v>
      </c>
      <c r="Z13" s="146">
        <f t="shared" si="4"/>
        <v>4.2056074766355138E-2</v>
      </c>
      <c r="AA13" s="8"/>
      <c r="AE13" s="2">
        <v>12</v>
      </c>
      <c r="AM13" s="107" t="str">
        <f>BUNDESLIGA!V696</f>
        <v>Fortuna Düsseldorf</v>
      </c>
      <c r="AN13" s="107" t="str">
        <f>BUNDESLIGA!W696</f>
        <v>16</v>
      </c>
    </row>
    <row r="14" spans="2:44" x14ac:dyDescent="0.25">
      <c r="B14" s="139"/>
      <c r="C14" s="139"/>
      <c r="D14" s="179"/>
      <c r="E14" s="179"/>
      <c r="F14" s="179"/>
      <c r="G14" s="179"/>
      <c r="J14" s="127" t="str">
        <f t="array" ref="J14">IFERROR(INDEX(SAISON!$B$3:$B$1838,SMALL(IF((SAISON!$D$3:$D$1838='Resultat Journée'!$J$3)*(SAISON!$G$3:$G$1838='Resultat Journée'!$M$3),ROW(SAISON!$B$3:$B$1838)-2),ROWS($1:9))),"")</f>
        <v/>
      </c>
      <c r="K14" s="127" t="str">
        <f t="shared" si="5"/>
        <v/>
      </c>
      <c r="L14" s="127" t="str">
        <f t="shared" si="6"/>
        <v/>
      </c>
      <c r="M14" s="127" t="str">
        <f t="shared" si="7"/>
        <v/>
      </c>
      <c r="N14" s="127" t="str">
        <f t="array" ref="N14">IFERROR(INDEX(SAISON!E$3:E$1838,SMALL(IF((SAISON!$D$3:$D$1838='Resultat Journée'!$J$3)*(SAISON!$G$3:$G$1838='Resultat Journée'!$M$3),ROW(SAISON!$B$3:$B$1838)-2),ROWS($1:9))),"")</f>
        <v/>
      </c>
      <c r="O14" s="127" t="str">
        <f t="array" ref="O14">IFERROR(INDEX(SAISON!F$3:F$1838,SMALL(IF((SAISON!$D$3:$D$1838='Resultat Journée'!$J$3)*(SAISON!$G$3:$G$1838='Resultat Journée'!$M$3),ROW(SAISON!$B$3:$B$1838)-2),ROWS($1:9))),"")</f>
        <v/>
      </c>
      <c r="P14" s="117"/>
      <c r="R14" s="107" t="str">
        <f t="shared" si="8"/>
        <v/>
      </c>
      <c r="S14" s="107" t="str">
        <f t="shared" si="9"/>
        <v/>
      </c>
      <c r="T14" s="107" t="str">
        <f t="shared" si="10"/>
        <v/>
      </c>
      <c r="U14" s="107" t="str">
        <f t="shared" si="11"/>
        <v/>
      </c>
      <c r="W14" s="11">
        <v>11</v>
      </c>
      <c r="X14" s="11" t="str">
        <f t="shared" si="2"/>
        <v>0-3</v>
      </c>
      <c r="Y14" s="11">
        <f t="shared" si="3"/>
        <v>8</v>
      </c>
      <c r="Z14" s="146">
        <f t="shared" si="4"/>
        <v>3.7383177570093455E-2</v>
      </c>
      <c r="AA14" s="8"/>
      <c r="AE14" s="2">
        <v>13</v>
      </c>
      <c r="AM14" s="107" t="str">
        <f>BUNDESLIGA!V697</f>
        <v>Hertha BSC</v>
      </c>
      <c r="AN14" s="107" t="str">
        <f>BUNDESLIGA!W697</f>
        <v>14</v>
      </c>
    </row>
    <row r="15" spans="2:44" x14ac:dyDescent="0.25">
      <c r="B15" s="139"/>
      <c r="C15" s="139"/>
      <c r="D15" s="178"/>
      <c r="E15" s="178"/>
      <c r="F15" s="177"/>
      <c r="G15" s="177"/>
      <c r="J15" s="127" t="str">
        <f t="array" ref="J15">IFERROR(INDEX(SAISON!$B$3:$B$1838,SMALL(IF((SAISON!$D$3:$D$1838='Resultat Journée'!$J$3)*(SAISON!$G$3:$G$1838='Resultat Journée'!$M$3),ROW(SAISON!$B$3:$B$1838)-2),ROWS($1:10))),"")</f>
        <v/>
      </c>
      <c r="K15" s="127" t="str">
        <f t="shared" si="5"/>
        <v/>
      </c>
      <c r="L15" s="127" t="str">
        <f t="shared" si="6"/>
        <v/>
      </c>
      <c r="M15" s="127" t="str">
        <f t="shared" si="7"/>
        <v/>
      </c>
      <c r="N15" s="127" t="str">
        <f t="array" ref="N15">IFERROR(INDEX(SAISON!E$3:E$1838,SMALL(IF((SAISON!$D$3:$D$1838='Resultat Journée'!$J$3)*(SAISON!$G$3:$G$1838='Resultat Journée'!$M$3),ROW(SAISON!$B$3:$B$1838)-2),ROWS($1:10))),"")</f>
        <v/>
      </c>
      <c r="O15" s="127" t="str">
        <f t="array" ref="O15">IFERROR(INDEX(SAISON!F$3:F$1838,SMALL(IF((SAISON!$D$3:$D$1838='Resultat Journée'!$J$3)*(SAISON!$G$3:$G$1838='Resultat Journée'!$M$3),ROW(SAISON!$B$3:$B$1838)-2),ROWS($1:10))),"")</f>
        <v/>
      </c>
      <c r="P15" s="117"/>
      <c r="R15" s="107" t="str">
        <f t="shared" si="8"/>
        <v/>
      </c>
      <c r="S15" s="107" t="str">
        <f t="shared" si="9"/>
        <v/>
      </c>
      <c r="T15" s="107" t="str">
        <f t="shared" si="10"/>
        <v/>
      </c>
      <c r="U15" s="107" t="str">
        <f t="shared" si="11"/>
        <v/>
      </c>
      <c r="W15" s="11">
        <v>12</v>
      </c>
      <c r="X15" s="11" t="str">
        <f t="shared" si="2"/>
        <v>0-0</v>
      </c>
      <c r="Y15" s="11">
        <f t="shared" si="3"/>
        <v>8</v>
      </c>
      <c r="Z15" s="146">
        <f t="shared" si="4"/>
        <v>3.7383177570093455E-2</v>
      </c>
      <c r="AA15" s="8"/>
      <c r="AE15" s="2">
        <v>14</v>
      </c>
      <c r="AM15" s="107" t="str">
        <f>BUNDESLIGA!V698</f>
        <v>RB Leipzig</v>
      </c>
      <c r="AN15" s="107" t="str">
        <f>BUNDESLIGA!W698</f>
        <v>2</v>
      </c>
    </row>
    <row r="16" spans="2:44" x14ac:dyDescent="0.25">
      <c r="B16" s="142"/>
      <c r="C16" s="139"/>
      <c r="D16" s="178"/>
      <c r="E16" s="178"/>
      <c r="F16" s="177"/>
      <c r="G16" s="177"/>
      <c r="H16" s="2"/>
      <c r="J16" s="127" t="str">
        <f t="array" ref="J16">IFERROR(INDEX(SAISON!$B$3:$B$1838,SMALL(IF((SAISON!$D$3:$D$1838='Resultat Journée'!$J$3)*(SAISON!$G$3:$G$1838='Resultat Journée'!$M$3),ROW(SAISON!$B$3:$B$1838)-2),ROWS($1:11))),"")</f>
        <v/>
      </c>
      <c r="K16" s="127" t="str">
        <f t="shared" si="5"/>
        <v/>
      </c>
      <c r="L16" s="127" t="str">
        <f t="shared" si="6"/>
        <v/>
      </c>
      <c r="M16" s="127" t="str">
        <f t="shared" si="7"/>
        <v/>
      </c>
      <c r="N16" s="127" t="str">
        <f t="array" ref="N16">IFERROR(INDEX(SAISON!E$3:E$1838,SMALL(IF((SAISON!$D$3:$D$1838='Resultat Journée'!$J$3)*(SAISON!$G$3:$G$1838='Resultat Journée'!$M$3),ROW(SAISON!$B$3:$B$1838)-2),ROWS($1:11))),"")</f>
        <v/>
      </c>
      <c r="O16" s="127" t="str">
        <f t="array" ref="O16">IFERROR(INDEX(SAISON!F$3:F$1838,SMALL(IF((SAISON!$D$3:$D$1838='Resultat Journée'!$J$3)*(SAISON!$G$3:$G$1838='Resultat Journée'!$M$3),ROW(SAISON!$B$3:$B$1838)-2),ROWS($1:11))),"")</f>
        <v/>
      </c>
      <c r="P16" s="117"/>
      <c r="R16" s="107" t="str">
        <f t="shared" si="8"/>
        <v/>
      </c>
      <c r="S16" s="107" t="str">
        <f t="shared" si="9"/>
        <v/>
      </c>
      <c r="T16" s="107" t="str">
        <f t="shared" si="10"/>
        <v/>
      </c>
      <c r="U16" s="107" t="str">
        <f t="shared" si="11"/>
        <v/>
      </c>
      <c r="W16" s="143">
        <v>13</v>
      </c>
      <c r="X16" s="11" t="str">
        <f t="shared" si="2"/>
        <v>4-0</v>
      </c>
      <c r="Y16" s="11">
        <f t="shared" si="3"/>
        <v>7</v>
      </c>
      <c r="Z16" s="146">
        <f t="shared" si="4"/>
        <v>3.2710280373831772E-2</v>
      </c>
      <c r="AA16" s="8"/>
      <c r="AE16" s="2">
        <v>15</v>
      </c>
      <c r="AM16" s="107" t="str">
        <f>BUNDESLIGA!V699</f>
        <v>SC Freiburg</v>
      </c>
      <c r="AN16" s="107" t="str">
        <f>BUNDESLIGA!W699</f>
        <v>9</v>
      </c>
    </row>
    <row r="17" spans="2:40" x14ac:dyDescent="0.25">
      <c r="B17" s="142"/>
      <c r="C17" s="139"/>
      <c r="D17" s="178"/>
      <c r="E17" s="178"/>
      <c r="F17" s="177"/>
      <c r="G17" s="177"/>
      <c r="J17" s="127" t="str">
        <f t="array" ref="J17">IFERROR(INDEX(SAISON!$B$3:$B$1838,SMALL(IF((SAISON!$D$3:$D$1838='Resultat Journée'!$J$3)*(SAISON!$G$3:$G$1838='Resultat Journée'!$M$3),ROW(SAISON!$B$3:$B$1838)-2),ROWS($1:12))),"")</f>
        <v/>
      </c>
      <c r="K17" s="127" t="str">
        <f t="shared" si="5"/>
        <v/>
      </c>
      <c r="L17" s="127" t="str">
        <f t="shared" si="6"/>
        <v/>
      </c>
      <c r="M17" s="127" t="str">
        <f t="shared" si="7"/>
        <v/>
      </c>
      <c r="N17" s="127" t="str">
        <f t="array" ref="N17">IFERROR(INDEX(SAISON!E$3:E$1838,SMALL(IF((SAISON!$D$3:$D$1838='Resultat Journée'!$J$3)*(SAISON!$G$3:$G$1838='Resultat Journée'!$M$3),ROW(SAISON!$B$3:$B$1838)-2),ROWS($1:12))),"")</f>
        <v/>
      </c>
      <c r="O17" s="127" t="str">
        <f t="array" ref="O17">IFERROR(INDEX(SAISON!F$3:F$1838,SMALL(IF((SAISON!$D$3:$D$1838='Resultat Journée'!$J$3)*(SAISON!$G$3:$G$1838='Resultat Journée'!$M$3),ROW(SAISON!$B$3:$B$1838)-2),ROWS($1:12))),"")</f>
        <v/>
      </c>
      <c r="P17" s="23"/>
      <c r="R17" s="107" t="str">
        <f t="shared" si="8"/>
        <v/>
      </c>
      <c r="S17" s="107" t="str">
        <f t="shared" si="9"/>
        <v/>
      </c>
      <c r="T17" s="107" t="str">
        <f t="shared" si="10"/>
        <v/>
      </c>
      <c r="U17" s="107" t="str">
        <f t="shared" si="11"/>
        <v/>
      </c>
      <c r="W17" s="11">
        <v>14</v>
      </c>
      <c r="X17" s="11" t="str">
        <f t="shared" si="2"/>
        <v>0-2</v>
      </c>
      <c r="Y17" s="11">
        <f t="shared" si="3"/>
        <v>7</v>
      </c>
      <c r="Z17" s="146">
        <f t="shared" si="4"/>
        <v>3.2710280373831772E-2</v>
      </c>
      <c r="AE17" s="2">
        <v>16</v>
      </c>
      <c r="AM17" s="107" t="str">
        <f>BUNDESLIGA!V700</f>
        <v>SC Paderborn 07</v>
      </c>
      <c r="AN17" s="107" t="str">
        <f>BUNDESLIGA!W700</f>
        <v>18</v>
      </c>
    </row>
    <row r="18" spans="2:40" x14ac:dyDescent="0.25">
      <c r="B18" s="139"/>
      <c r="C18" s="139"/>
      <c r="D18" s="178"/>
      <c r="E18" s="178"/>
      <c r="F18" s="177"/>
      <c r="G18" s="177"/>
      <c r="J18" s="127" t="str">
        <f t="array" ref="J18">IFERROR(INDEX(SAISON!$B$3:$B$1838,SMALL(IF((SAISON!$D$3:$D$1838='Resultat Journée'!$J$3)*(SAISON!$G$3:$G$1838='Resultat Journée'!$M$3),ROW(SAISON!$B$3:$B$1838)-2),ROWS($1:13))),"")</f>
        <v/>
      </c>
      <c r="K18" s="127" t="str">
        <f t="shared" si="5"/>
        <v/>
      </c>
      <c r="L18" s="127" t="str">
        <f t="shared" si="6"/>
        <v/>
      </c>
      <c r="M18" s="127" t="str">
        <f t="shared" si="7"/>
        <v/>
      </c>
      <c r="N18" s="127" t="str">
        <f t="array" ref="N18">IFERROR(INDEX(SAISON!E$3:E$1838,SMALL(IF((SAISON!$D$3:$D$1838='Resultat Journée'!$J$3)*(SAISON!$G$3:$G$1838='Resultat Journée'!$M$3),ROW(SAISON!$B$3:$B$1838)-2),ROWS($1:13))),"")</f>
        <v/>
      </c>
      <c r="O18" s="127" t="str">
        <f t="array" ref="O18">IFERROR(INDEX(SAISON!F$3:F$1838,SMALL(IF((SAISON!$D$3:$D$1838='Resultat Journée'!$J$3)*(SAISON!$G$3:$G$1838='Resultat Journée'!$M$3),ROW(SAISON!$B$3:$B$1838)-2),ROWS($1:13))),"")</f>
        <v/>
      </c>
      <c r="P18" s="23"/>
      <c r="R18" s="107" t="str">
        <f t="shared" si="8"/>
        <v/>
      </c>
      <c r="S18" s="107" t="str">
        <f t="shared" si="9"/>
        <v/>
      </c>
      <c r="T18" s="107" t="str">
        <f t="shared" si="10"/>
        <v/>
      </c>
      <c r="U18" s="107" t="str">
        <f t="shared" si="11"/>
        <v/>
      </c>
      <c r="W18" s="11">
        <v>15</v>
      </c>
      <c r="X18" s="11" t="str">
        <f t="shared" si="2"/>
        <v>0-1</v>
      </c>
      <c r="Y18" s="11">
        <f t="shared" si="3"/>
        <v>7</v>
      </c>
      <c r="Z18" s="146">
        <f t="shared" si="4"/>
        <v>3.2710280373831772E-2</v>
      </c>
      <c r="AE18" s="2">
        <v>17</v>
      </c>
      <c r="AM18" s="107" t="str">
        <f>BUNDESLIGA!V701</f>
        <v>VfL Wolfsburg</v>
      </c>
      <c r="AN18" s="107" t="str">
        <f>BUNDESLIGA!W701</f>
        <v>7</v>
      </c>
    </row>
    <row r="19" spans="2:40" x14ac:dyDescent="0.25">
      <c r="B19" s="142"/>
      <c r="C19" s="139"/>
      <c r="D19" s="178"/>
      <c r="E19" s="178"/>
      <c r="F19" s="177"/>
      <c r="G19" s="177"/>
      <c r="J19" s="127" t="str">
        <f t="array" ref="J19">IFERROR(INDEX(SAISON!$B$3:$B$1838,SMALL(IF((SAISON!$D$3:$D$1838='Resultat Journée'!$J$3)*(SAISON!$G$3:$G$1838='Resultat Journée'!$M$3),ROW(SAISON!$B$3:$B$1838)-2),ROWS($1:14))),"")</f>
        <v/>
      </c>
      <c r="K19" s="127" t="str">
        <f t="shared" si="5"/>
        <v/>
      </c>
      <c r="L19" s="127" t="str">
        <f t="shared" si="6"/>
        <v/>
      </c>
      <c r="M19" s="127" t="str">
        <f t="shared" si="7"/>
        <v/>
      </c>
      <c r="N19" s="127" t="str">
        <f t="array" ref="N19">IFERROR(INDEX(SAISON!E$3:E$1838,SMALL(IF((SAISON!$D$3:$D$1838='Resultat Journée'!$J$3)*(SAISON!$G$3:$G$1838='Resultat Journée'!$M$3),ROW(SAISON!$B$3:$B$1838)-2),ROWS($1:14))),"")</f>
        <v/>
      </c>
      <c r="O19" s="127" t="str">
        <f t="array" ref="O19">IFERROR(INDEX(SAISON!F$3:F$1838,SMALL(IF((SAISON!$D$3:$D$1838='Resultat Journée'!$J$3)*(SAISON!$G$3:$G$1838='Resultat Journée'!$M$3),ROW(SAISON!$B$3:$B$1838)-2),ROWS($1:14))),"")</f>
        <v/>
      </c>
      <c r="R19" s="107" t="str">
        <f t="shared" si="8"/>
        <v/>
      </c>
      <c r="S19" s="107" t="str">
        <f t="shared" si="9"/>
        <v/>
      </c>
      <c r="T19" s="107" t="str">
        <f t="shared" si="10"/>
        <v/>
      </c>
      <c r="U19" s="107" t="str">
        <f t="shared" si="11"/>
        <v/>
      </c>
      <c r="W19" s="143">
        <v>16</v>
      </c>
      <c r="X19" s="11" t="str">
        <f t="shared" si="2"/>
        <v>0-4</v>
      </c>
      <c r="Y19" s="11">
        <f t="shared" si="3"/>
        <v>5</v>
      </c>
      <c r="Z19" s="146">
        <f t="shared" si="4"/>
        <v>2.336448598130841E-2</v>
      </c>
      <c r="AB19" s="137"/>
      <c r="AC19" s="137"/>
      <c r="AE19" s="2">
        <v>18</v>
      </c>
      <c r="AM19" s="107" t="str">
        <f>BUNDESLIGA!V702</f>
        <v>Werder Bremen</v>
      </c>
      <c r="AN19" s="107" t="str">
        <f>BUNDESLIGA!W702</f>
        <v>17</v>
      </c>
    </row>
    <row r="20" spans="2:40" x14ac:dyDescent="0.25">
      <c r="B20" s="142"/>
      <c r="C20" s="139"/>
      <c r="D20" s="178"/>
      <c r="E20" s="178"/>
      <c r="F20" s="177"/>
      <c r="G20" s="177"/>
      <c r="J20" s="127" t="str">
        <f t="array" ref="J20">IFERROR(INDEX(SAISON!$B$3:$B$1838,SMALL(IF((SAISON!$D$3:$D$1838='Resultat Journée'!$J$3)*(SAISON!$G$3:$G$1838='Resultat Journée'!$M$3),ROW(SAISON!$B$3:$B$1838)-2),ROWS($1:15))),"")</f>
        <v/>
      </c>
      <c r="K20" s="127" t="str">
        <f t="shared" si="5"/>
        <v/>
      </c>
      <c r="L20" s="127" t="str">
        <f t="shared" si="6"/>
        <v/>
      </c>
      <c r="M20" s="127" t="str">
        <f t="shared" si="7"/>
        <v/>
      </c>
      <c r="N20" s="127" t="str">
        <f t="array" ref="N20">IFERROR(INDEX(SAISON!E$3:E$1838,SMALL(IF((SAISON!$D$3:$D$1838='Resultat Journée'!$J$3)*(SAISON!$G$3:$G$1838='Resultat Journée'!$M$3),ROW(SAISON!$B$3:$B$1838)-2),ROWS($1:15))),"")</f>
        <v/>
      </c>
      <c r="O20" s="127" t="str">
        <f t="array" ref="O20">IFERROR(INDEX(SAISON!F$3:F$1838,SMALL(IF((SAISON!$D$3:$D$1838='Resultat Journée'!$J$3)*(SAISON!$G$3:$G$1838='Resultat Journée'!$M$3),ROW(SAISON!$B$3:$B$1838)-2),ROWS($1:15))),"")</f>
        <v/>
      </c>
      <c r="R20" s="107" t="str">
        <f t="shared" si="8"/>
        <v/>
      </c>
      <c r="S20" s="107" t="str">
        <f t="shared" si="9"/>
        <v/>
      </c>
      <c r="T20" s="107" t="str">
        <f t="shared" si="10"/>
        <v/>
      </c>
      <c r="U20" s="107" t="str">
        <f t="shared" si="11"/>
        <v/>
      </c>
      <c r="W20" s="11">
        <v>17</v>
      </c>
      <c r="X20" s="11" t="str">
        <f t="shared" si="2"/>
        <v>5-1</v>
      </c>
      <c r="Y20" s="11">
        <f t="shared" si="3"/>
        <v>4</v>
      </c>
      <c r="Z20" s="146">
        <f t="shared" si="4"/>
        <v>1.8691588785046728E-2</v>
      </c>
      <c r="AB20" s="137"/>
      <c r="AC20" s="137"/>
      <c r="AE20" s="2">
        <v>19</v>
      </c>
    </row>
    <row r="21" spans="2:40" x14ac:dyDescent="0.25">
      <c r="B21" s="139"/>
      <c r="C21" s="139"/>
      <c r="D21" s="178"/>
      <c r="E21" s="178"/>
      <c r="F21" s="177"/>
      <c r="G21" s="177"/>
      <c r="J21" s="127" t="str">
        <f t="array" ref="J21">IFERROR(INDEX(SAISON!$B$3:$B$1838,SMALL(IF((SAISON!$D$3:$D$1838='Resultat Journée'!$J$3)*(SAISON!$G$3:$G$1838='Resultat Journée'!$M$3),ROW(SAISON!$B$3:$B$1838)-2),ROWS($1:16))),"")</f>
        <v/>
      </c>
      <c r="K21" s="127" t="str">
        <f t="shared" si="5"/>
        <v/>
      </c>
      <c r="L21" s="127" t="str">
        <f t="shared" si="6"/>
        <v/>
      </c>
      <c r="M21" s="127" t="str">
        <f t="shared" si="7"/>
        <v/>
      </c>
      <c r="N21" s="127" t="str">
        <f t="array" ref="N21">IFERROR(INDEX(SAISON!E$3:E$1838,SMALL(IF((SAISON!$D$3:$D$1838='Resultat Journée'!$J$3)*(SAISON!$G$3:$G$1838='Resultat Journée'!$M$3),ROW(SAISON!$B$3:$B$1838)-2),ROWS($1:16))),"")</f>
        <v/>
      </c>
      <c r="O21" s="127" t="str">
        <f t="array" ref="O21">IFERROR(INDEX(SAISON!F$3:F$1838,SMALL(IF((SAISON!$D$3:$D$1838='Resultat Journée'!$J$3)*(SAISON!$G$3:$G$1838='Resultat Journée'!$M$3),ROW(SAISON!$B$3:$B$1838)-2),ROWS($1:16))),"")</f>
        <v/>
      </c>
      <c r="R21" s="107" t="str">
        <f t="shared" si="8"/>
        <v/>
      </c>
      <c r="S21" s="107" t="str">
        <f t="shared" si="9"/>
        <v/>
      </c>
      <c r="T21" s="107" t="str">
        <f t="shared" si="10"/>
        <v/>
      </c>
      <c r="U21" s="107" t="str">
        <f t="shared" si="11"/>
        <v/>
      </c>
      <c r="W21" s="11">
        <v>18</v>
      </c>
      <c r="X21" s="11" t="str">
        <f t="shared" si="2"/>
        <v>5-0</v>
      </c>
      <c r="Y21" s="11">
        <f t="shared" si="3"/>
        <v>4</v>
      </c>
      <c r="Z21" s="146">
        <f t="shared" si="4"/>
        <v>1.8691588785046728E-2</v>
      </c>
      <c r="AB21" s="137"/>
      <c r="AC21" s="137"/>
      <c r="AE21" s="2">
        <v>20</v>
      </c>
    </row>
    <row r="22" spans="2:40" x14ac:dyDescent="0.25">
      <c r="B22" s="142"/>
      <c r="C22" s="139"/>
      <c r="D22" s="178"/>
      <c r="E22" s="178"/>
      <c r="F22" s="177"/>
      <c r="G22" s="177"/>
      <c r="J22" s="127" t="str">
        <f t="array" ref="J22">IFERROR(INDEX(SAISON!$B$3:$B$1838,SMALL(IF((SAISON!$D$3:$D$1838='Resultat Journée'!$J$3)*(SAISON!$G$3:$G$1838='Resultat Journée'!$M$3),ROW(SAISON!$B$3:$B$1838)-2),ROWS($1:17))),"")</f>
        <v/>
      </c>
      <c r="K22" s="127" t="str">
        <f t="shared" si="5"/>
        <v/>
      </c>
      <c r="L22" s="127" t="str">
        <f t="shared" si="6"/>
        <v/>
      </c>
      <c r="M22" s="127" t="str">
        <f t="shared" si="7"/>
        <v/>
      </c>
      <c r="N22" s="127" t="str">
        <f t="array" ref="N22">IFERROR(INDEX(SAISON!E$3:E$1838,SMALL(IF((SAISON!$D$3:$D$1838='Resultat Journée'!$J$3)*(SAISON!$G$3:$G$1838='Resultat Journée'!$M$3),ROW(SAISON!$B$3:$B$1838)-2),ROWS($1:17))),"")</f>
        <v/>
      </c>
      <c r="O22" s="127" t="str">
        <f t="array" ref="O22">IFERROR(INDEX(SAISON!F$3:F$1838,SMALL(IF((SAISON!$D$3:$D$1838='Resultat Journée'!$J$3)*(SAISON!$G$3:$G$1838='Resultat Journée'!$M$3),ROW(SAISON!$B$3:$B$1838)-2),ROWS($1:17))),"")</f>
        <v/>
      </c>
      <c r="R22" s="107" t="str">
        <f t="shared" si="8"/>
        <v/>
      </c>
      <c r="S22" s="107" t="str">
        <f t="shared" si="9"/>
        <v/>
      </c>
      <c r="T22" s="107" t="str">
        <f t="shared" si="10"/>
        <v/>
      </c>
      <c r="U22" s="107" t="str">
        <f t="shared" si="11"/>
        <v/>
      </c>
      <c r="W22" s="143">
        <v>19</v>
      </c>
      <c r="X22" s="11" t="str">
        <f t="shared" si="2"/>
        <v>3-3</v>
      </c>
      <c r="Y22" s="11">
        <f t="shared" si="3"/>
        <v>4</v>
      </c>
      <c r="Z22" s="146">
        <f t="shared" si="4"/>
        <v>1.8691588785046728E-2</v>
      </c>
      <c r="AE22" s="2">
        <v>21</v>
      </c>
    </row>
    <row r="23" spans="2:40" x14ac:dyDescent="0.25">
      <c r="B23" s="142"/>
      <c r="C23" s="139"/>
      <c r="D23" s="178"/>
      <c r="E23" s="178"/>
      <c r="F23" s="177"/>
      <c r="G23" s="177"/>
      <c r="J23" s="127" t="str">
        <f t="array" ref="J23">IFERROR(INDEX(SAISON!$B$3:$B$1838,SMALL(IF((SAISON!$D$3:$D$1838='Resultat Journée'!$J$3)*(SAISON!$G$3:$G$1838='Resultat Journée'!$M$3),ROW(SAISON!$B$3:$B$1838)-2),ROWS($1:18))),"")</f>
        <v/>
      </c>
      <c r="K23" s="127" t="str">
        <f t="shared" si="5"/>
        <v/>
      </c>
      <c r="L23" s="127" t="str">
        <f t="shared" si="6"/>
        <v/>
      </c>
      <c r="M23" s="127" t="str">
        <f t="shared" si="7"/>
        <v/>
      </c>
      <c r="N23" s="127" t="str">
        <f t="array" ref="N23">IFERROR(INDEX(SAISON!E$3:E$1838,SMALL(IF((SAISON!$D$3:$D$1838='Resultat Journée'!$J$3)*(SAISON!$G$3:$G$1838='Resultat Journée'!$M$3),ROW(SAISON!$B$3:$B$1838)-2),ROWS($1:18))),"")</f>
        <v/>
      </c>
      <c r="O23" s="127" t="str">
        <f t="array" ref="O23">IFERROR(INDEX(SAISON!F$3:F$1838,SMALL(IF((SAISON!$D$3:$D$1838='Resultat Journée'!$J$3)*(SAISON!$G$3:$G$1838='Resultat Journée'!$M$3),ROW(SAISON!$B$3:$B$1838)-2),ROWS($1:18))),"")</f>
        <v/>
      </c>
      <c r="R23" s="107" t="str">
        <f t="shared" si="8"/>
        <v/>
      </c>
      <c r="S23" s="107" t="str">
        <f t="shared" si="9"/>
        <v/>
      </c>
      <c r="T23" s="107" t="str">
        <f t="shared" si="10"/>
        <v/>
      </c>
      <c r="U23" s="107" t="str">
        <f t="shared" si="11"/>
        <v/>
      </c>
      <c r="W23" s="11">
        <v>20</v>
      </c>
      <c r="X23" s="11" t="str">
        <f t="shared" si="2"/>
        <v>3-2</v>
      </c>
      <c r="Y23" s="11">
        <f t="shared" si="3"/>
        <v>4</v>
      </c>
      <c r="Z23" s="146">
        <f t="shared" si="4"/>
        <v>1.8691588785046728E-2</v>
      </c>
      <c r="AE23" s="2">
        <v>22</v>
      </c>
    </row>
    <row r="24" spans="2:40" x14ac:dyDescent="0.25">
      <c r="B24" s="139"/>
      <c r="C24" s="139"/>
      <c r="D24" s="178"/>
      <c r="E24" s="178"/>
      <c r="F24" s="177"/>
      <c r="G24" s="177"/>
      <c r="J24" s="127" t="str">
        <f t="array" ref="J24">IFERROR(INDEX(SAISON!$B$3:$B$1838,SMALL(IF((SAISON!$D$3:$D$1838='Resultat Journée'!$J$3)*(SAISON!$G$3:$G$1838='Resultat Journée'!$M$3),ROW(SAISON!$B$3:$B$1838)-2),ROWS($1:19))),"")</f>
        <v/>
      </c>
      <c r="K24" s="127" t="str">
        <f t="shared" si="5"/>
        <v/>
      </c>
      <c r="L24" s="127" t="str">
        <f t="shared" si="6"/>
        <v/>
      </c>
      <c r="M24" s="127" t="str">
        <f t="shared" si="7"/>
        <v/>
      </c>
      <c r="N24" s="127" t="str">
        <f t="array" ref="N24">IFERROR(INDEX(SAISON!E$3:E$1838,SMALL(IF((SAISON!$D$3:$D$1838='Resultat Journée'!$J$3)*(SAISON!$G$3:$G$1838='Resultat Journée'!$M$3),ROW(SAISON!$B$3:$B$1838)-2),ROWS($1:19))),"")</f>
        <v/>
      </c>
      <c r="O24" s="127" t="str">
        <f t="array" ref="O24">IFERROR(INDEX(SAISON!F$3:F$1838,SMALL(IF((SAISON!$D$3:$D$1838='Resultat Journée'!$J$3)*(SAISON!$G$3:$G$1838='Resultat Journée'!$M$3),ROW(SAISON!$B$3:$B$1838)-2),ROWS($1:19))),"")</f>
        <v/>
      </c>
      <c r="R24" s="107" t="str">
        <f t="shared" si="8"/>
        <v/>
      </c>
      <c r="S24" s="107" t="str">
        <f t="shared" si="9"/>
        <v/>
      </c>
      <c r="T24" s="107" t="str">
        <f t="shared" si="10"/>
        <v/>
      </c>
      <c r="U24" s="107" t="str">
        <f t="shared" si="11"/>
        <v/>
      </c>
      <c r="W24" s="11">
        <v>21</v>
      </c>
      <c r="X24" s="11" t="str">
        <f t="shared" si="2"/>
        <v>2-4</v>
      </c>
      <c r="Y24" s="11">
        <f t="shared" si="3"/>
        <v>4</v>
      </c>
      <c r="Z24" s="146">
        <f t="shared" si="4"/>
        <v>1.8691588785046728E-2</v>
      </c>
      <c r="AE24" s="2">
        <v>23</v>
      </c>
    </row>
    <row r="25" spans="2:40" x14ac:dyDescent="0.25">
      <c r="B25" s="142"/>
      <c r="C25" s="139"/>
      <c r="D25" s="178"/>
      <c r="E25" s="178"/>
      <c r="F25" s="177"/>
      <c r="G25" s="177"/>
      <c r="J25" s="127" t="str">
        <f t="array" ref="J25">IFERROR(INDEX(SAISON!$B$3:$B$1838,SMALL(IF((SAISON!$D$3:$D$1838='Resultat Journée'!$J$3)*(SAISON!$G$3:$G$1838='Resultat Journée'!$M$3),ROW(SAISON!$B$3:$B$1838)-2),ROWS($1:20))),"")</f>
        <v/>
      </c>
      <c r="K25" s="127" t="str">
        <f t="shared" si="5"/>
        <v/>
      </c>
      <c r="L25" s="127" t="str">
        <f t="shared" si="6"/>
        <v/>
      </c>
      <c r="M25" s="127" t="str">
        <f t="shared" si="7"/>
        <v/>
      </c>
      <c r="N25" s="127" t="str">
        <f t="array" ref="N25">IFERROR(INDEX(SAISON!E$3:E$1838,SMALL(IF((SAISON!$D$3:$D$1838='Resultat Journée'!$J$3)*(SAISON!$G$3:$G$1838='Resultat Journée'!$M$3),ROW(SAISON!$B$3:$B$1838)-2),ROWS($1:20))),"")</f>
        <v/>
      </c>
      <c r="O25" s="127" t="str">
        <f t="array" ref="O25">IFERROR(INDEX(SAISON!F$3:F$1838,SMALL(IF((SAISON!$D$3:$D$1838='Resultat Journée'!$J$3)*(SAISON!$G$3:$G$1838='Resultat Journée'!$M$3),ROW(SAISON!$B$3:$B$1838)-2),ROWS($1:20))),"")</f>
        <v/>
      </c>
      <c r="R25" s="107" t="str">
        <f t="shared" si="8"/>
        <v/>
      </c>
      <c r="S25" s="107" t="str">
        <f t="shared" si="9"/>
        <v/>
      </c>
      <c r="T25" s="107" t="str">
        <f t="shared" si="10"/>
        <v/>
      </c>
      <c r="U25" s="107" t="str">
        <f t="shared" si="11"/>
        <v/>
      </c>
      <c r="W25" s="143">
        <v>22</v>
      </c>
      <c r="X25" s="11" t="str">
        <f t="shared" si="2"/>
        <v>1-4</v>
      </c>
      <c r="Y25" s="11">
        <f t="shared" si="3"/>
        <v>3</v>
      </c>
      <c r="Z25" s="146">
        <f t="shared" si="4"/>
        <v>1.4018691588785047E-2</v>
      </c>
      <c r="AE25" s="2">
        <v>24</v>
      </c>
    </row>
    <row r="26" spans="2:40" x14ac:dyDescent="0.25">
      <c r="B26" s="142"/>
      <c r="C26" s="139"/>
      <c r="D26" s="178"/>
      <c r="E26" s="178"/>
      <c r="F26" s="177"/>
      <c r="G26" s="177"/>
      <c r="J26" s="127" t="str">
        <f t="array" ref="J26">IFERROR(INDEX(SAISON!$B$3:$B$1838,SMALL(IF((SAISON!$D$3:$D$1838='Resultat Journée'!$J$3)*(SAISON!$G$3:$G$1838='Resultat Journée'!$M$3),ROW(SAISON!$B$3:$B$1838)-2),ROWS($1:21))),"")</f>
        <v/>
      </c>
      <c r="K26" s="127" t="str">
        <f t="shared" si="5"/>
        <v/>
      </c>
      <c r="L26" s="127" t="str">
        <f t="shared" si="6"/>
        <v/>
      </c>
      <c r="M26" s="127" t="str">
        <f t="shared" si="7"/>
        <v/>
      </c>
      <c r="N26" s="127" t="str">
        <f t="array" ref="N26">IFERROR(INDEX(SAISON!E$3:E$1838,SMALL(IF((SAISON!$D$3:$D$1838='Resultat Journée'!$J$3)*(SAISON!$G$3:$G$1838='Resultat Journée'!$M$3),ROW(SAISON!$B$3:$B$1838)-2),ROWS($1:21))),"")</f>
        <v/>
      </c>
      <c r="O26" s="127" t="str">
        <f t="array" ref="O26">IFERROR(INDEX(SAISON!F$3:F$1838,SMALL(IF((SAISON!$D$3:$D$1838='Resultat Journée'!$J$3)*(SAISON!$G$3:$G$1838='Resultat Journée'!$M$3),ROW(SAISON!$B$3:$B$1838)-2),ROWS($1:21))),"")</f>
        <v/>
      </c>
      <c r="R26" s="107" t="str">
        <f t="shared" si="8"/>
        <v/>
      </c>
      <c r="S26" s="107" t="str">
        <f t="shared" si="9"/>
        <v/>
      </c>
      <c r="T26" s="107" t="str">
        <f t="shared" si="10"/>
        <v/>
      </c>
      <c r="U26" s="107" t="str">
        <f t="shared" si="11"/>
        <v/>
      </c>
      <c r="W26" s="11">
        <v>23</v>
      </c>
      <c r="X26" s="11" t="str">
        <f t="shared" si="2"/>
        <v>0-5</v>
      </c>
      <c r="Y26" s="11">
        <f t="shared" si="3"/>
        <v>3</v>
      </c>
      <c r="Z26" s="146">
        <f t="shared" si="4"/>
        <v>1.4018691588785047E-2</v>
      </c>
      <c r="AE26" s="2">
        <v>25</v>
      </c>
    </row>
    <row r="27" spans="2:40" x14ac:dyDescent="0.25">
      <c r="B27" s="139"/>
      <c r="C27" s="139"/>
      <c r="D27" s="178"/>
      <c r="E27" s="178"/>
      <c r="F27" s="177"/>
      <c r="G27" s="177"/>
      <c r="J27" s="127" t="str">
        <f t="array" ref="J27">IFERROR(INDEX(SAISON!$B$3:$B$1838,SMALL(IF((SAISON!$D$3:$D$1838='Resultat Journée'!$J$3)*(SAISON!$G$3:$G$1838='Resultat Journée'!$M$3),ROW(SAISON!$B$3:$B$1838)-2),ROWS($1:22))),"")</f>
        <v/>
      </c>
      <c r="K27" s="127" t="str">
        <f t="shared" si="5"/>
        <v/>
      </c>
      <c r="L27" s="127" t="str">
        <f t="shared" si="6"/>
        <v/>
      </c>
      <c r="M27" s="127" t="str">
        <f t="shared" si="7"/>
        <v/>
      </c>
      <c r="N27" s="127" t="str">
        <f t="array" ref="N27">IFERROR(INDEX(SAISON!E$3:E$1838,SMALL(IF((SAISON!$D$3:$D$1838='Resultat Journée'!$J$3)*(SAISON!$G$3:$G$1838='Resultat Journée'!$M$3),ROW(SAISON!$B$3:$B$1838)-2),ROWS($1:22))),"")</f>
        <v/>
      </c>
      <c r="O27" s="127" t="str">
        <f t="array" ref="O27">IFERROR(INDEX(SAISON!F$3:F$1838,SMALL(IF((SAISON!$D$3:$D$1838='Resultat Journée'!$J$3)*(SAISON!$G$3:$G$1838='Resultat Journée'!$M$3),ROW(SAISON!$B$3:$B$1838)-2),ROWS($1:22))),"")</f>
        <v/>
      </c>
      <c r="R27" s="107" t="str">
        <f t="shared" si="8"/>
        <v/>
      </c>
      <c r="S27" s="107" t="str">
        <f t="shared" si="9"/>
        <v/>
      </c>
      <c r="T27" s="107" t="str">
        <f t="shared" si="10"/>
        <v/>
      </c>
      <c r="U27" s="107" t="str">
        <f t="shared" si="11"/>
        <v/>
      </c>
      <c r="W27" s="11">
        <v>24</v>
      </c>
      <c r="X27" s="11" t="str">
        <f t="shared" si="2"/>
        <v>6-1</v>
      </c>
      <c r="Y27" s="11">
        <f t="shared" si="3"/>
        <v>2</v>
      </c>
      <c r="Z27" s="146">
        <f t="shared" si="4"/>
        <v>9.3457943925233638E-3</v>
      </c>
      <c r="AE27" s="2">
        <v>26</v>
      </c>
    </row>
    <row r="28" spans="2:40" x14ac:dyDescent="0.25">
      <c r="B28" s="142"/>
      <c r="C28" s="139"/>
      <c r="D28" s="180" t="s">
        <v>186</v>
      </c>
      <c r="E28" s="180"/>
      <c r="F28" s="177"/>
      <c r="G28" s="177"/>
      <c r="J28" s="127" t="str">
        <f t="array" ref="J28">IFERROR(INDEX(SAISON!$B$3:$B$1838,SMALL(IF((SAISON!$D$3:$D$1838='Resultat Journée'!$J$3)*(SAISON!$G$3:$G$1838='Resultat Journée'!$M$3),ROW(SAISON!$B$3:$B$1838)-2),ROWS($1:23))),"")</f>
        <v/>
      </c>
      <c r="K28" s="127" t="str">
        <f t="shared" si="5"/>
        <v/>
      </c>
      <c r="L28" s="127" t="str">
        <f t="shared" si="6"/>
        <v/>
      </c>
      <c r="M28" s="127" t="str">
        <f t="shared" si="7"/>
        <v/>
      </c>
      <c r="N28" s="127" t="str">
        <f t="array" ref="N28">IFERROR(INDEX(SAISON!E$3:E$1838,SMALL(IF((SAISON!$D$3:$D$1838='Resultat Journée'!$J$3)*(SAISON!$G$3:$G$1838='Resultat Journée'!$M$3),ROW(SAISON!$B$3:$B$1838)-2),ROWS($1:23))),"")</f>
        <v/>
      </c>
      <c r="O28" s="127" t="str">
        <f t="array" ref="O28">IFERROR(INDEX(SAISON!F$3:F$1838,SMALL(IF((SAISON!$D$3:$D$1838='Resultat Journée'!$J$3)*(SAISON!$G$3:$G$1838='Resultat Journée'!$M$3),ROW(SAISON!$B$3:$B$1838)-2),ROWS($1:23))),"")</f>
        <v/>
      </c>
      <c r="R28" s="107" t="str">
        <f t="shared" si="8"/>
        <v/>
      </c>
      <c r="S28" s="107" t="str">
        <f t="shared" si="9"/>
        <v/>
      </c>
      <c r="T28" s="107" t="str">
        <f t="shared" si="10"/>
        <v/>
      </c>
      <c r="U28" s="107" t="str">
        <f t="shared" si="11"/>
        <v/>
      </c>
      <c r="W28" s="143">
        <v>25</v>
      </c>
      <c r="X28" s="11" t="str">
        <f t="shared" si="2"/>
        <v>4-2</v>
      </c>
      <c r="Y28" s="11">
        <f t="shared" si="3"/>
        <v>2</v>
      </c>
      <c r="Z28" s="146">
        <f t="shared" si="4"/>
        <v>9.3457943925233638E-3</v>
      </c>
      <c r="AE28" s="2">
        <v>27</v>
      </c>
    </row>
    <row r="29" spans="2:40" x14ac:dyDescent="0.25">
      <c r="B29" s="142"/>
      <c r="C29" s="147"/>
      <c r="D29" s="176">
        <f>AP3</f>
        <v>1</v>
      </c>
      <c r="E29" s="176"/>
      <c r="F29" s="177"/>
      <c r="G29" s="177"/>
      <c r="J29" s="127" t="str">
        <f t="array" ref="J29">IFERROR(INDEX(SAISON!$B$3:$B$1838,SMALL(IF((SAISON!$D$3:$D$1838='Resultat Journée'!$J$3)*(SAISON!$G$3:$G$1838='Resultat Journée'!$M$3),ROW(SAISON!$B$3:$B$1838)-2),ROWS($1:24))),"")</f>
        <v/>
      </c>
      <c r="K29" s="127" t="str">
        <f t="shared" si="5"/>
        <v/>
      </c>
      <c r="L29" s="127" t="str">
        <f t="shared" si="6"/>
        <v/>
      </c>
      <c r="M29" s="127" t="str">
        <f t="shared" si="7"/>
        <v/>
      </c>
      <c r="N29" s="127" t="str">
        <f t="array" ref="N29">IFERROR(INDEX(SAISON!E$3:E$1838,SMALL(IF((SAISON!$D$3:$D$1838='Resultat Journée'!$J$3)*(SAISON!$G$3:$G$1838='Resultat Journée'!$M$3),ROW(SAISON!$B$3:$B$1838)-2),ROWS($1:24))),"")</f>
        <v/>
      </c>
      <c r="O29" s="127" t="str">
        <f t="array" ref="O29">IFERROR(INDEX(SAISON!F$3:F$1838,SMALL(IF((SAISON!$D$3:$D$1838='Resultat Journée'!$J$3)*(SAISON!$G$3:$G$1838='Resultat Journée'!$M$3),ROW(SAISON!$B$3:$B$1838)-2),ROWS($1:24))),"")</f>
        <v/>
      </c>
      <c r="P29" s="23"/>
      <c r="R29" s="107" t="str">
        <f t="shared" si="8"/>
        <v/>
      </c>
      <c r="S29" s="107" t="str">
        <f t="shared" si="9"/>
        <v/>
      </c>
      <c r="T29" s="107" t="str">
        <f t="shared" si="10"/>
        <v/>
      </c>
      <c r="U29" s="107" t="str">
        <f t="shared" si="11"/>
        <v/>
      </c>
      <c r="W29" s="11">
        <v>26</v>
      </c>
      <c r="X29" s="11" t="str">
        <f t="shared" si="2"/>
        <v>1-5</v>
      </c>
      <c r="Y29" s="11">
        <f t="shared" si="3"/>
        <v>2</v>
      </c>
      <c r="Z29" s="146">
        <f t="shared" si="4"/>
        <v>9.3457943925233638E-3</v>
      </c>
      <c r="AE29" s="2">
        <v>28</v>
      </c>
    </row>
    <row r="30" spans="2:40" x14ac:dyDescent="0.25">
      <c r="B30" s="139"/>
      <c r="C30" s="147"/>
      <c r="D30" s="176"/>
      <c r="E30" s="176"/>
      <c r="F30" s="177"/>
      <c r="G30" s="177"/>
      <c r="J30" s="127" t="str">
        <f t="array" ref="J30">IFERROR(INDEX(SAISON!$B$3:$B$1838,SMALL(IF((SAISON!$D$3:$D$1838='Resultat Journée'!$J$3)*(SAISON!$G$3:$G$1838='Resultat Journée'!$M$3),ROW(SAISON!$B$3:$B$1838)-2),ROWS($1:25))),"")</f>
        <v/>
      </c>
      <c r="K30" s="127" t="str">
        <f t="shared" si="5"/>
        <v/>
      </c>
      <c r="L30" s="127" t="str">
        <f t="shared" si="6"/>
        <v/>
      </c>
      <c r="M30" s="127" t="str">
        <f t="shared" si="7"/>
        <v/>
      </c>
      <c r="N30" s="127" t="str">
        <f t="array" ref="N30">IFERROR(INDEX(SAISON!E$3:E$1838,SMALL(IF((SAISON!$D$3:$D$1838='Resultat Journée'!$J$3)*(SAISON!$G$3:$G$1838='Resultat Journée'!$M$3),ROW(SAISON!$B$3:$B$1838)-2),ROWS($1:25))),"")</f>
        <v/>
      </c>
      <c r="O30" s="127" t="str">
        <f t="array" ref="O30">IFERROR(INDEX(SAISON!F$3:F$1838,SMALL(IF((SAISON!$D$3:$D$1838='Resultat Journée'!$J$3)*(SAISON!$G$3:$G$1838='Resultat Journée'!$M$3),ROW(SAISON!$B$3:$B$1838)-2),ROWS($1:25))),"")</f>
        <v/>
      </c>
      <c r="P30" s="23"/>
      <c r="R30" s="107" t="str">
        <f t="shared" si="8"/>
        <v/>
      </c>
      <c r="S30" s="107" t="str">
        <f t="shared" si="9"/>
        <v/>
      </c>
      <c r="T30" s="107" t="str">
        <f t="shared" si="10"/>
        <v/>
      </c>
      <c r="U30" s="107" t="str">
        <f t="shared" si="11"/>
        <v/>
      </c>
      <c r="W30" s="11">
        <v>27</v>
      </c>
      <c r="X30" s="11" t="str">
        <f t="shared" si="2"/>
        <v>8-0</v>
      </c>
      <c r="Y30" s="11">
        <f t="shared" si="3"/>
        <v>1</v>
      </c>
      <c r="Z30" s="146">
        <f t="shared" si="4"/>
        <v>4.6728971962616819E-3</v>
      </c>
      <c r="AE30" s="2">
        <v>29</v>
      </c>
    </row>
    <row r="31" spans="2:40" ht="15.75" customHeight="1" x14ac:dyDescent="0.25">
      <c r="B31" s="142"/>
      <c r="C31" s="172">
        <f>AP2</f>
        <v>2</v>
      </c>
      <c r="D31" s="178"/>
      <c r="E31" s="178"/>
      <c r="F31" s="174">
        <f>AP4</f>
        <v>1</v>
      </c>
      <c r="G31" s="144"/>
      <c r="J31" s="127" t="str">
        <f t="array" ref="J31">IFERROR(INDEX(SAISON!$B$3:$B$1838,SMALL(IF((SAISON!$D$3:$D$1838='Resultat Journée'!$J$3)*(SAISON!$G$3:$G$1838='Resultat Journée'!$M$3),ROW(SAISON!$B$3:$B$1838)-2),ROWS($1:26))),"")</f>
        <v/>
      </c>
      <c r="K31" s="127" t="str">
        <f t="shared" si="5"/>
        <v/>
      </c>
      <c r="L31" s="127" t="str">
        <f t="shared" si="6"/>
        <v/>
      </c>
      <c r="M31" s="127" t="str">
        <f t="shared" si="7"/>
        <v/>
      </c>
      <c r="N31" s="127" t="str">
        <f t="array" ref="N31">IFERROR(INDEX(SAISON!E$3:E$1838,SMALL(IF((SAISON!$D$3:$D$1838='Resultat Journée'!$J$3)*(SAISON!$G$3:$G$1838='Resultat Journée'!$M$3),ROW(SAISON!$B$3:$B$1838)-2),ROWS($1:26))),"")</f>
        <v/>
      </c>
      <c r="O31" s="127" t="str">
        <f t="array" ref="O31">IFERROR(INDEX(SAISON!F$3:F$1838,SMALL(IF((SAISON!$D$3:$D$1838='Resultat Journée'!$J$3)*(SAISON!$G$3:$G$1838='Resultat Journée'!$M$3),ROW(SAISON!$B$3:$B$1838)-2),ROWS($1:26))),"")</f>
        <v/>
      </c>
      <c r="P31" s="23"/>
      <c r="R31" s="107" t="str">
        <f t="shared" si="8"/>
        <v/>
      </c>
      <c r="S31" s="107" t="str">
        <f t="shared" si="9"/>
        <v/>
      </c>
      <c r="T31" s="107" t="str">
        <f t="shared" si="10"/>
        <v/>
      </c>
      <c r="U31" s="107" t="str">
        <f t="shared" si="11"/>
        <v/>
      </c>
      <c r="W31" s="143">
        <v>28</v>
      </c>
      <c r="X31" s="11" t="str">
        <f t="shared" si="2"/>
        <v>4-3</v>
      </c>
      <c r="Y31" s="11">
        <f t="shared" si="3"/>
        <v>1</v>
      </c>
      <c r="Z31" s="146">
        <f t="shared" si="4"/>
        <v>4.6728971962616819E-3</v>
      </c>
      <c r="AE31" s="2">
        <v>30</v>
      </c>
    </row>
    <row r="32" spans="2:40" ht="15.75" customHeight="1" x14ac:dyDescent="0.25">
      <c r="B32" s="142"/>
      <c r="C32" s="173"/>
      <c r="D32" s="178"/>
      <c r="E32" s="178"/>
      <c r="F32" s="175"/>
      <c r="G32" s="144"/>
      <c r="J32" s="127" t="str">
        <f t="array" ref="J32">IFERROR(INDEX(SAISON!$B$3:$B$1838,SMALL(IF((SAISON!$D$3:$D$1838='Resultat Journée'!$J$3)*(SAISON!$G$3:$G$1838='Resultat Journée'!$M$3),ROW(SAISON!$B$3:$B$1838)-2),ROWS($1:27))),"")</f>
        <v/>
      </c>
      <c r="K32" s="127" t="str">
        <f t="shared" si="5"/>
        <v/>
      </c>
      <c r="L32" s="127" t="str">
        <f t="shared" si="6"/>
        <v/>
      </c>
      <c r="M32" s="127" t="str">
        <f t="shared" si="7"/>
        <v/>
      </c>
      <c r="N32" s="127" t="str">
        <f t="array" ref="N32">IFERROR(INDEX(SAISON!E$3:E$1838,SMALL(IF((SAISON!$D$3:$D$1838='Resultat Journée'!$J$3)*(SAISON!$G$3:$G$1838='Resultat Journée'!$M$3),ROW(SAISON!$B$3:$B$1838)-2),ROWS($1:27))),"")</f>
        <v/>
      </c>
      <c r="O32" s="127" t="str">
        <f t="array" ref="O32">IFERROR(INDEX(SAISON!F$3:F$1838,SMALL(IF((SAISON!$D$3:$D$1838='Resultat Journée'!$J$3)*(SAISON!$G$3:$G$1838='Resultat Journée'!$M$3),ROW(SAISON!$B$3:$B$1838)-2),ROWS($1:27))),"")</f>
        <v/>
      </c>
      <c r="P32" s="23"/>
      <c r="R32" s="107" t="str">
        <f t="shared" si="8"/>
        <v/>
      </c>
      <c r="S32" s="107" t="str">
        <f t="shared" si="9"/>
        <v/>
      </c>
      <c r="T32" s="107" t="str">
        <f t="shared" si="10"/>
        <v/>
      </c>
      <c r="U32" s="107" t="str">
        <f t="shared" si="11"/>
        <v/>
      </c>
      <c r="W32" s="11">
        <v>29</v>
      </c>
      <c r="X32" s="11" t="str">
        <f t="shared" si="2"/>
        <v>4-1</v>
      </c>
      <c r="Y32" s="11">
        <f t="shared" si="3"/>
        <v>1</v>
      </c>
      <c r="Z32" s="146">
        <f t="shared" si="4"/>
        <v>4.6728971962616819E-3</v>
      </c>
      <c r="AE32" s="2">
        <v>31</v>
      </c>
    </row>
    <row r="33" spans="2:31" ht="15.75" customHeight="1" x14ac:dyDescent="0.25">
      <c r="B33" s="139"/>
      <c r="C33" s="139"/>
      <c r="D33" s="178"/>
      <c r="E33" s="178"/>
      <c r="F33" s="177"/>
      <c r="G33" s="177"/>
      <c r="J33" s="127" t="str">
        <f t="array" ref="J33">IFERROR(INDEX(SAISON!$B$3:$B$1838,SMALL(IF((SAISON!$D$3:$D$1838='Resultat Journée'!$J$3)*(SAISON!$G$3:$G$1838='Resultat Journée'!$M$3),ROW(SAISON!$B$3:$B$1838)-2),ROWS($1:28))),"")</f>
        <v/>
      </c>
      <c r="K33" s="127" t="str">
        <f t="shared" si="5"/>
        <v/>
      </c>
      <c r="L33" s="127" t="str">
        <f t="shared" si="6"/>
        <v/>
      </c>
      <c r="M33" s="127" t="str">
        <f t="shared" si="7"/>
        <v/>
      </c>
      <c r="N33" s="127" t="str">
        <f t="array" ref="N33">IFERROR(INDEX(SAISON!E$3:E$1838,SMALL(IF((SAISON!$D$3:$D$1838='Resultat Journée'!$J$3)*(SAISON!$G$3:$G$1838='Resultat Journée'!$M$3),ROW(SAISON!$B$3:$B$1838)-2),ROWS($1:28))),"")</f>
        <v/>
      </c>
      <c r="O33" s="127" t="str">
        <f t="array" ref="O33">IFERROR(INDEX(SAISON!F$3:F$1838,SMALL(IF((SAISON!$D$3:$D$1838='Resultat Journée'!$J$3)*(SAISON!$G$3:$G$1838='Resultat Journée'!$M$3),ROW(SAISON!$B$3:$B$1838)-2),ROWS($1:28))),"")</f>
        <v/>
      </c>
      <c r="P33" s="23"/>
      <c r="R33" s="107" t="str">
        <f t="shared" si="8"/>
        <v/>
      </c>
      <c r="S33" s="107" t="str">
        <f t="shared" si="9"/>
        <v/>
      </c>
      <c r="T33" s="107" t="str">
        <f t="shared" si="10"/>
        <v/>
      </c>
      <c r="U33" s="107" t="str">
        <f t="shared" si="11"/>
        <v/>
      </c>
      <c r="W33" s="11">
        <v>30</v>
      </c>
      <c r="X33" s="11" t="str">
        <f t="shared" si="2"/>
        <v>3-5</v>
      </c>
      <c r="Y33" s="11">
        <f t="shared" si="3"/>
        <v>1</v>
      </c>
      <c r="Z33" s="146">
        <f t="shared" si="4"/>
        <v>4.6728971962616819E-3</v>
      </c>
      <c r="AE33" s="2">
        <v>32</v>
      </c>
    </row>
    <row r="34" spans="2:31" ht="15.75" customHeight="1" x14ac:dyDescent="0.25">
      <c r="B34" s="142"/>
      <c r="C34" s="139"/>
      <c r="D34" s="178"/>
      <c r="E34" s="178"/>
      <c r="F34" s="177"/>
      <c r="G34" s="177"/>
      <c r="J34" s="127" t="str">
        <f t="array" ref="J34">IFERROR(INDEX(SAISON!$B$3:$B$1838,SMALL(IF((SAISON!$D$3:$D$1838='Resultat Journée'!$J$3)*(SAISON!$G$3:$G$1838='Resultat Journée'!$M$3),ROW(SAISON!$B$3:$B$1838)-2),ROWS($1:29))),"")</f>
        <v/>
      </c>
      <c r="K34" s="127" t="str">
        <f t="shared" si="5"/>
        <v/>
      </c>
      <c r="L34" s="127" t="str">
        <f t="shared" si="6"/>
        <v/>
      </c>
      <c r="M34" s="127" t="str">
        <f t="shared" si="7"/>
        <v/>
      </c>
      <c r="N34" s="127" t="str">
        <f t="array" ref="N34">IFERROR(INDEX(SAISON!E$3:E$1838,SMALL(IF((SAISON!$D$3:$D$1838='Resultat Journée'!$J$3)*(SAISON!$G$3:$G$1838='Resultat Journée'!$M$3),ROW(SAISON!$B$3:$B$1838)-2),ROWS($1:29))),"")</f>
        <v/>
      </c>
      <c r="O34" s="127" t="str">
        <f t="array" ref="O34">IFERROR(INDEX(SAISON!F$3:F$1838,SMALL(IF((SAISON!$D$3:$D$1838='Resultat Journée'!$J$3)*(SAISON!$G$3:$G$1838='Resultat Journée'!$M$3),ROW(SAISON!$B$3:$B$1838)-2),ROWS($1:29))),"")</f>
        <v/>
      </c>
      <c r="P34" s="23"/>
      <c r="R34" s="107" t="str">
        <f t="shared" si="8"/>
        <v/>
      </c>
      <c r="S34" s="107" t="str">
        <f t="shared" si="9"/>
        <v/>
      </c>
      <c r="T34" s="107" t="str">
        <f t="shared" si="10"/>
        <v/>
      </c>
      <c r="U34" s="107" t="str">
        <f t="shared" si="11"/>
        <v/>
      </c>
      <c r="W34" s="143">
        <v>31</v>
      </c>
      <c r="X34" s="11" t="str">
        <f t="shared" si="2"/>
        <v>0-6</v>
      </c>
      <c r="Y34" s="11">
        <f t="shared" si="3"/>
        <v>1</v>
      </c>
      <c r="Z34" s="146">
        <f t="shared" si="4"/>
        <v>4.6728971962616819E-3</v>
      </c>
      <c r="AA34" s="139"/>
      <c r="AE34" s="2">
        <v>33</v>
      </c>
    </row>
    <row r="35" spans="2:31" ht="15.75" customHeight="1" x14ac:dyDescent="0.25">
      <c r="B35" s="142"/>
      <c r="C35" s="139"/>
      <c r="D35" s="178"/>
      <c r="E35" s="178"/>
      <c r="F35" s="177"/>
      <c r="G35" s="177"/>
      <c r="J35" s="127" t="str">
        <f t="array" ref="J35">IFERROR(INDEX(SAISON!$B$3:$B$1838,SMALL(IF((SAISON!$D$3:$D$1838='Resultat Journée'!$J$3)*(SAISON!$G$3:$G$1838='Resultat Journée'!$M$3),ROW(SAISON!$B$3:$B$1838)-2),ROWS($1:30))),"")</f>
        <v/>
      </c>
      <c r="K35" s="127" t="str">
        <f t="shared" si="5"/>
        <v/>
      </c>
      <c r="L35" s="127" t="str">
        <f t="shared" si="6"/>
        <v/>
      </c>
      <c r="M35" s="127" t="str">
        <f t="shared" si="7"/>
        <v/>
      </c>
      <c r="N35" s="127" t="str">
        <f t="array" ref="N35">IFERROR(INDEX(SAISON!E$3:E$1838,SMALL(IF((SAISON!$D$3:$D$1838='Resultat Journée'!$J$3)*(SAISON!$G$3:$G$1838='Resultat Journée'!$M$3),ROW(SAISON!$B$3:$B$1838)-2),ROWS($1:30))),"")</f>
        <v/>
      </c>
      <c r="O35" s="127" t="str">
        <f t="array" ref="O35">IFERROR(INDEX(SAISON!F$3:F$1838,SMALL(IF((SAISON!$D$3:$D$1838='Resultat Journée'!$J$3)*(SAISON!$G$3:$G$1838='Resultat Journée'!$M$3),ROW(SAISON!$B$3:$B$1838)-2),ROWS($1:30))),"")</f>
        <v/>
      </c>
      <c r="P35" s="23"/>
      <c r="R35" s="107" t="str">
        <f t="shared" si="8"/>
        <v/>
      </c>
      <c r="S35" s="107" t="str">
        <f t="shared" si="9"/>
        <v/>
      </c>
      <c r="T35" s="107" t="str">
        <f t="shared" si="10"/>
        <v/>
      </c>
      <c r="U35" s="107" t="str">
        <f t="shared" si="11"/>
        <v/>
      </c>
      <c r="W35" s="11">
        <v>32</v>
      </c>
      <c r="X35" s="11" t="str">
        <f t="shared" si="2"/>
        <v/>
      </c>
      <c r="Y35" s="11" t="str">
        <f t="shared" si="3"/>
        <v/>
      </c>
      <c r="Z35" s="146" t="str">
        <f t="shared" si="4"/>
        <v/>
      </c>
      <c r="AA35" s="139"/>
      <c r="AE35" s="2">
        <v>34</v>
      </c>
    </row>
    <row r="36" spans="2:31" ht="15.75" customHeight="1" x14ac:dyDescent="0.25">
      <c r="B36" s="139"/>
      <c r="C36" s="139"/>
      <c r="D36" s="178"/>
      <c r="E36" s="178"/>
      <c r="F36" s="177"/>
      <c r="G36" s="177"/>
      <c r="J36" s="127" t="str">
        <f t="array" ref="J36">IFERROR(INDEX(SAISON!$B$3:$B$1838,SMALL(IF((SAISON!$D$3:$D$1838='Resultat Journée'!$J$3)*(SAISON!$G$3:$G$1838='Resultat Journée'!$M$3),ROW(SAISON!$B$3:$B$1838)-2),ROWS($1:31))),"")</f>
        <v/>
      </c>
      <c r="K36" s="127" t="str">
        <f t="shared" si="5"/>
        <v/>
      </c>
      <c r="L36" s="127" t="str">
        <f t="shared" si="6"/>
        <v/>
      </c>
      <c r="M36" s="127" t="str">
        <f t="shared" si="7"/>
        <v/>
      </c>
      <c r="N36" s="127" t="str">
        <f t="array" ref="N36">IFERROR(INDEX(SAISON!E$3:E$1838,SMALL(IF((SAISON!$D$3:$D$1838='Resultat Journée'!$J$3)*(SAISON!$G$3:$G$1838='Resultat Journée'!$M$3),ROW(SAISON!$B$3:$B$1838)-2),ROWS($1:31))),"")</f>
        <v/>
      </c>
      <c r="O36" s="127" t="str">
        <f t="array" ref="O36">IFERROR(INDEX(SAISON!F$3:F$1838,SMALL(IF((SAISON!$D$3:$D$1838='Resultat Journée'!$J$3)*(SAISON!$G$3:$G$1838='Resultat Journée'!$M$3),ROW(SAISON!$B$3:$B$1838)-2),ROWS($1:31))),"")</f>
        <v/>
      </c>
      <c r="P36" s="23"/>
      <c r="R36" s="107" t="str">
        <f t="shared" si="8"/>
        <v/>
      </c>
      <c r="S36" s="107" t="str">
        <f t="shared" si="9"/>
        <v/>
      </c>
      <c r="T36" s="107" t="str">
        <f t="shared" si="10"/>
        <v/>
      </c>
      <c r="U36" s="107" t="str">
        <f t="shared" si="11"/>
        <v/>
      </c>
      <c r="W36" s="11">
        <v>33</v>
      </c>
      <c r="X36" s="11" t="str">
        <f t="shared" si="2"/>
        <v/>
      </c>
      <c r="Y36" s="11" t="str">
        <f t="shared" si="3"/>
        <v/>
      </c>
      <c r="Z36" s="146" t="str">
        <f t="shared" si="4"/>
        <v/>
      </c>
      <c r="AA36" s="145"/>
    </row>
    <row r="37" spans="2:31" x14ac:dyDescent="0.25">
      <c r="B37" s="142"/>
      <c r="C37" s="139"/>
      <c r="D37" s="178"/>
      <c r="E37" s="178"/>
      <c r="F37" s="177"/>
      <c r="G37" s="177"/>
      <c r="J37" s="127" t="str">
        <f t="array" ref="J37">IFERROR(INDEX(SAISON!$B$3:$B$1838,SMALL(IF((SAISON!$D$3:$D$1838='Resultat Journée'!$J$3)*(SAISON!$G$3:$G$1838='Resultat Journée'!$M$3),ROW(SAISON!$B$3:$B$1838)-2),ROWS($1:32))),"")</f>
        <v/>
      </c>
      <c r="K37" s="127"/>
      <c r="L37" s="127"/>
      <c r="M37" s="127"/>
      <c r="N37" s="127" t="str">
        <f t="array" ref="N37">IFERROR(INDEX(SAISON!E$3:E$1838,SMALL(IF((SAISON!$D$3:$D$1838='Resultat Journée'!$J$3)*(SAISON!$G$3:$G$1838='Resultat Journée'!$M$3),ROW(SAISON!$B$3:$B$1838)-2),ROWS($1:32))),"")</f>
        <v/>
      </c>
      <c r="O37" s="127" t="str">
        <f t="array" ref="O37">IFERROR(INDEX(SAISON!F$3:F$1838,SMALL(IF((SAISON!$D$3:$D$1838='Resultat Journée'!$J$3)*(SAISON!$G$3:$G$1838='Resultat Journée'!$M$3),ROW(SAISON!$B$3:$B$1838)-2),ROWS($1:32))),"")</f>
        <v/>
      </c>
      <c r="P37" s="23"/>
      <c r="W37" s="143">
        <v>34</v>
      </c>
      <c r="X37" s="11" t="str">
        <f t="shared" si="2"/>
        <v/>
      </c>
      <c r="Y37" s="11" t="str">
        <f t="shared" si="3"/>
        <v/>
      </c>
      <c r="Z37" s="146" t="str">
        <f t="shared" si="4"/>
        <v/>
      </c>
    </row>
    <row r="38" spans="2:31" x14ac:dyDescent="0.25">
      <c r="B38" s="142"/>
      <c r="C38" s="139"/>
      <c r="D38" s="178"/>
      <c r="E38" s="178"/>
      <c r="F38" s="177"/>
      <c r="G38" s="177"/>
      <c r="J38" s="133" t="str">
        <f t="array" ref="J38">IFERROR(INDEX(SAISON!$B$3:$B$1838,SMALL(IF((SAISON!$D$3:$D$1838='Resultat Journée'!$J$3)*(SAISON!$G$3:$G$1838='Resultat Journée'!$M$3),ROW(SAISON!$B$3:$B$1838)-2),ROWS($1:33))),"")</f>
        <v/>
      </c>
      <c r="K38" s="117"/>
      <c r="L38" s="117"/>
      <c r="M38" s="117"/>
      <c r="N38" s="23"/>
      <c r="O38" s="23"/>
      <c r="P38" s="23"/>
    </row>
    <row r="39" spans="2:31" x14ac:dyDescent="0.25">
      <c r="B39" s="139"/>
      <c r="C39" s="139"/>
      <c r="D39" s="178"/>
      <c r="E39" s="178"/>
      <c r="F39" s="177"/>
      <c r="G39" s="177"/>
      <c r="J39" s="134" t="str">
        <f t="array" ref="J39">IFERROR(INDEX(SAISON!$B$3:$B$1838,SMALL(IF((SAISON!$D$3:$D$1838='Resultat Journée'!$J$3)*(SAISON!$G$3:$G$1838='Resultat Journée'!$M$3),ROW(SAISON!$B$3:$B$1838)-2),ROWS($1:34))),"")</f>
        <v/>
      </c>
      <c r="K39" s="117"/>
      <c r="L39" s="117"/>
      <c r="M39" s="117"/>
      <c r="N39" s="23"/>
      <c r="O39" s="23"/>
      <c r="P39" s="23"/>
    </row>
    <row r="40" spans="2:31" x14ac:dyDescent="0.25">
      <c r="B40" s="142"/>
      <c r="C40" s="139"/>
      <c r="D40" s="178"/>
      <c r="E40" s="178"/>
      <c r="F40" s="177"/>
      <c r="G40" s="177"/>
      <c r="J40" s="117"/>
      <c r="K40" s="117"/>
      <c r="L40" s="117"/>
      <c r="M40" s="117"/>
      <c r="N40" s="23"/>
      <c r="O40" s="23"/>
      <c r="P40" s="23"/>
      <c r="Y40" s="138">
        <f>COUNTIF($T$6:$T$37,"G")/Q3</f>
        <v>0.5</v>
      </c>
    </row>
    <row r="41" spans="2:31" x14ac:dyDescent="0.25">
      <c r="B41" s="142"/>
      <c r="C41" s="139"/>
      <c r="D41" s="178"/>
      <c r="E41" s="178"/>
      <c r="F41" s="177"/>
      <c r="G41" s="177"/>
      <c r="J41" s="117"/>
      <c r="K41" s="117"/>
      <c r="L41" s="117"/>
      <c r="M41" s="117"/>
      <c r="N41" s="23"/>
      <c r="O41" s="23"/>
      <c r="P41" s="23"/>
      <c r="Y41" s="138">
        <f>COUNTIF($T$6:$T$37,"N")/Q3</f>
        <v>0.25</v>
      </c>
    </row>
    <row r="42" spans="2:31" x14ac:dyDescent="0.25">
      <c r="B42" s="139"/>
      <c r="C42" s="139"/>
      <c r="D42" s="178"/>
      <c r="E42" s="178"/>
      <c r="F42" s="177"/>
      <c r="G42" s="177"/>
      <c r="J42" s="117"/>
      <c r="K42" s="117"/>
      <c r="L42" s="117"/>
      <c r="M42" s="117"/>
      <c r="N42" s="23"/>
      <c r="O42" s="23"/>
      <c r="P42" s="23"/>
      <c r="Y42" s="138">
        <f>COUNTIF($U$6:$U$37,"G")/Q3</f>
        <v>0.25</v>
      </c>
    </row>
    <row r="43" spans="2:31" x14ac:dyDescent="0.25">
      <c r="B43" s="142"/>
      <c r="C43" s="139"/>
      <c r="D43" s="178"/>
      <c r="E43" s="178"/>
      <c r="F43" s="177"/>
      <c r="G43" s="177"/>
      <c r="J43" s="117"/>
      <c r="K43" s="117"/>
      <c r="L43" s="117"/>
      <c r="M43" s="117"/>
      <c r="N43" s="23"/>
      <c r="O43" s="23"/>
      <c r="P43" s="23"/>
    </row>
    <row r="44" spans="2:31" x14ac:dyDescent="0.25">
      <c r="B44" s="142"/>
      <c r="C44" s="139"/>
      <c r="D44" s="178"/>
      <c r="E44" s="178"/>
      <c r="F44" s="177"/>
      <c r="G44" s="177"/>
      <c r="J44" s="117"/>
      <c r="K44" s="117"/>
      <c r="L44" s="117"/>
      <c r="M44" s="117"/>
      <c r="N44" s="23"/>
      <c r="O44" s="23"/>
      <c r="P44" s="23"/>
    </row>
    <row r="45" spans="2:31" x14ac:dyDescent="0.25">
      <c r="B45" s="139"/>
      <c r="C45" s="139"/>
      <c r="D45" s="178"/>
      <c r="E45" s="178"/>
      <c r="F45" s="177"/>
      <c r="G45" s="177"/>
      <c r="J45" s="117"/>
      <c r="K45" s="117"/>
      <c r="L45" s="117"/>
      <c r="M45" s="117"/>
      <c r="N45" s="23"/>
      <c r="O45" s="23"/>
      <c r="P45" s="23"/>
    </row>
    <row r="46" spans="2:31" x14ac:dyDescent="0.25">
      <c r="B46" s="142"/>
      <c r="C46" s="139"/>
      <c r="D46" s="178"/>
      <c r="E46" s="178"/>
      <c r="F46" s="177"/>
      <c r="G46" s="177"/>
      <c r="J46" s="117"/>
      <c r="K46" s="117"/>
      <c r="L46" s="117"/>
      <c r="M46" s="117"/>
      <c r="N46" s="23"/>
      <c r="O46" s="23"/>
      <c r="P46" s="23"/>
    </row>
    <row r="47" spans="2:31" x14ac:dyDescent="0.25">
      <c r="B47" s="142"/>
      <c r="C47" s="139"/>
      <c r="D47" s="178"/>
      <c r="E47" s="178"/>
      <c r="F47" s="177"/>
      <c r="G47" s="177"/>
      <c r="J47" s="117"/>
      <c r="K47" s="117"/>
      <c r="L47" s="117"/>
      <c r="M47" s="117"/>
      <c r="N47" s="23"/>
      <c r="O47" s="23"/>
      <c r="P47" s="23"/>
    </row>
    <row r="48" spans="2:31" x14ac:dyDescent="0.25">
      <c r="B48" s="139"/>
      <c r="C48" s="139"/>
      <c r="D48" s="178"/>
      <c r="E48" s="178"/>
      <c r="F48" s="177"/>
      <c r="G48" s="177"/>
      <c r="J48" s="117"/>
      <c r="K48" s="117"/>
      <c r="L48" s="117"/>
      <c r="M48" s="117"/>
      <c r="N48" s="23"/>
      <c r="O48" s="23"/>
      <c r="P48" s="23"/>
    </row>
    <row r="49" spans="1:16" x14ac:dyDescent="0.25">
      <c r="J49" s="117"/>
      <c r="K49" s="117"/>
      <c r="L49" s="117"/>
      <c r="M49" s="117"/>
      <c r="N49" s="23"/>
      <c r="O49" s="23"/>
      <c r="P49" s="23"/>
    </row>
    <row r="50" spans="1:16" x14ac:dyDescent="0.25">
      <c r="A50" s="107">
        <f>RANK(E50,E$50:E$149)</f>
        <v>12</v>
      </c>
      <c r="C50" s="140" t="str">
        <f>CONCATENATE(INT((ROW()-50)/10),"-",ROW()-INT(((ROW()-50)/10))*10-50)</f>
        <v>0-0</v>
      </c>
      <c r="D50" s="141">
        <f>COUNTIFS('DERNIER RESULTS'!I:I,LEFT('Resultat Journée'!C50,1),'DERNIER RESULTS'!J:J,RIGHT('Resultat Journée'!C50,1))</f>
        <v>8</v>
      </c>
      <c r="E50" s="141">
        <f>D50+ROW()/1000</f>
        <v>8.0500000000000007</v>
      </c>
      <c r="J50" s="117"/>
      <c r="K50" s="117"/>
      <c r="L50" s="117"/>
      <c r="M50" s="117"/>
      <c r="N50" s="23"/>
      <c r="O50" s="23"/>
      <c r="P50" s="23"/>
    </row>
    <row r="51" spans="1:16" x14ac:dyDescent="0.25">
      <c r="A51" s="140">
        <f t="shared" ref="A51:A114" si="12">RANK(E51,E$50:E$149)</f>
        <v>15</v>
      </c>
      <c r="C51" s="140" t="str">
        <f>CONCATENATE(INT((ROW()-50)/10),"-",ROW()-INT(((ROW()-50)/10))*10-50)</f>
        <v>0-1</v>
      </c>
      <c r="D51" s="141">
        <f>COUNTIFS('DERNIER RESULTS'!I:I,LEFT('Resultat Journée'!C51,1),'DERNIER RESULTS'!J:J,RIGHT('Resultat Journée'!C51,1))</f>
        <v>7</v>
      </c>
      <c r="E51" s="141">
        <f t="shared" ref="E51:E114" si="13">D51+ROW()/1000</f>
        <v>7.0510000000000002</v>
      </c>
      <c r="J51" s="117"/>
      <c r="K51" s="117"/>
      <c r="L51" s="117"/>
      <c r="M51" s="117"/>
      <c r="N51" s="23"/>
      <c r="O51" s="23"/>
      <c r="P51" s="23"/>
    </row>
    <row r="52" spans="1:16" x14ac:dyDescent="0.25">
      <c r="A52" s="140">
        <f t="shared" si="12"/>
        <v>14</v>
      </c>
      <c r="C52" s="140" t="str">
        <f t="shared" ref="C52:C115" si="14">CONCATENATE(INT((ROW()-50)/10),"-",ROW()-INT(((ROW()-50)/10))*10-50)</f>
        <v>0-2</v>
      </c>
      <c r="D52" s="141">
        <f>COUNTIFS('DERNIER RESULTS'!I:I,LEFT('Resultat Journée'!C52,1),'DERNIER RESULTS'!J:J,RIGHT('Resultat Journée'!C52,1))</f>
        <v>7</v>
      </c>
      <c r="E52" s="141">
        <f t="shared" si="13"/>
        <v>7.0519999999999996</v>
      </c>
      <c r="J52" s="117"/>
      <c r="K52" s="117"/>
      <c r="L52" s="117"/>
      <c r="M52" s="117"/>
      <c r="N52" s="23"/>
      <c r="O52" s="23"/>
      <c r="P52" s="23"/>
    </row>
    <row r="53" spans="1:16" x14ac:dyDescent="0.25">
      <c r="A53" s="140">
        <f t="shared" si="12"/>
        <v>11</v>
      </c>
      <c r="C53" s="140" t="str">
        <f t="shared" si="14"/>
        <v>0-3</v>
      </c>
      <c r="D53" s="141">
        <f>COUNTIFS('DERNIER RESULTS'!I:I,LEFT('Resultat Journée'!C53,1),'DERNIER RESULTS'!J:J,RIGHT('Resultat Journée'!C53,1))</f>
        <v>8</v>
      </c>
      <c r="E53" s="141">
        <f t="shared" si="13"/>
        <v>8.0530000000000008</v>
      </c>
      <c r="J53" s="117"/>
      <c r="K53" s="117"/>
      <c r="L53" s="117"/>
      <c r="M53" s="117"/>
      <c r="N53" s="23"/>
      <c r="O53" s="23"/>
      <c r="P53" s="23"/>
    </row>
    <row r="54" spans="1:16" x14ac:dyDescent="0.25">
      <c r="A54" s="140">
        <f t="shared" si="12"/>
        <v>16</v>
      </c>
      <c r="C54" s="140" t="str">
        <f t="shared" si="14"/>
        <v>0-4</v>
      </c>
      <c r="D54" s="141">
        <f>COUNTIFS('DERNIER RESULTS'!I:I,LEFT('Resultat Journée'!C54,1),'DERNIER RESULTS'!J:J,RIGHT('Resultat Journée'!C54,1))</f>
        <v>5</v>
      </c>
      <c r="E54" s="141">
        <f t="shared" si="13"/>
        <v>5.0540000000000003</v>
      </c>
      <c r="J54" s="117"/>
      <c r="K54" s="117"/>
      <c r="L54" s="117"/>
      <c r="M54" s="117"/>
      <c r="N54" s="23"/>
      <c r="O54" s="23"/>
      <c r="P54" s="23"/>
    </row>
    <row r="55" spans="1:16" x14ac:dyDescent="0.25">
      <c r="A55" s="140">
        <f t="shared" si="12"/>
        <v>23</v>
      </c>
      <c r="C55" s="140" t="str">
        <f t="shared" si="14"/>
        <v>0-5</v>
      </c>
      <c r="D55" s="141">
        <f>COUNTIFS('DERNIER RESULTS'!I:I,LEFT('Resultat Journée'!C55,1),'DERNIER RESULTS'!J:J,RIGHT('Resultat Journée'!C55,1))</f>
        <v>3</v>
      </c>
      <c r="E55" s="141">
        <f t="shared" si="13"/>
        <v>3.0550000000000002</v>
      </c>
      <c r="J55" s="117"/>
      <c r="K55" s="117"/>
      <c r="L55" s="117"/>
      <c r="M55" s="117"/>
      <c r="N55" s="23"/>
      <c r="O55" s="23"/>
      <c r="P55" s="23"/>
    </row>
    <row r="56" spans="1:16" x14ac:dyDescent="0.25">
      <c r="A56" s="140">
        <f t="shared" si="12"/>
        <v>31</v>
      </c>
      <c r="C56" s="140" t="str">
        <f t="shared" si="14"/>
        <v>0-6</v>
      </c>
      <c r="D56" s="141">
        <f>COUNTIFS('DERNIER RESULTS'!I:I,LEFT('Resultat Journée'!C56,1),'DERNIER RESULTS'!J:J,RIGHT('Resultat Journée'!C56,1))</f>
        <v>1</v>
      </c>
      <c r="E56" s="141">
        <f t="shared" si="13"/>
        <v>1.056</v>
      </c>
      <c r="J56" s="117"/>
      <c r="K56" s="117"/>
      <c r="L56" s="117"/>
      <c r="M56" s="117"/>
      <c r="N56" s="23"/>
      <c r="O56" s="23"/>
      <c r="P56" s="23"/>
    </row>
    <row r="57" spans="1:16" x14ac:dyDescent="0.25">
      <c r="A57" s="140">
        <f t="shared" si="12"/>
        <v>100</v>
      </c>
      <c r="C57" s="140" t="str">
        <f t="shared" si="14"/>
        <v>0-7</v>
      </c>
      <c r="D57" s="141">
        <f>COUNTIFS('DERNIER RESULTS'!I:I,LEFT('Resultat Journée'!C57,1),'DERNIER RESULTS'!J:J,RIGHT('Resultat Journée'!C57,1))</f>
        <v>0</v>
      </c>
      <c r="E57" s="141">
        <f t="shared" si="13"/>
        <v>5.7000000000000002E-2</v>
      </c>
      <c r="J57" s="117"/>
      <c r="K57" s="117"/>
      <c r="L57" s="117"/>
      <c r="M57" s="117"/>
      <c r="N57" s="23"/>
      <c r="O57" s="23"/>
      <c r="P57" s="23"/>
    </row>
    <row r="58" spans="1:16" x14ac:dyDescent="0.25">
      <c r="A58" s="140">
        <f t="shared" si="12"/>
        <v>99</v>
      </c>
      <c r="C58" s="140" t="str">
        <f t="shared" si="14"/>
        <v>0-8</v>
      </c>
      <c r="D58" s="141">
        <f>COUNTIFS('DERNIER RESULTS'!I:I,LEFT('Resultat Journée'!C58,1),'DERNIER RESULTS'!J:J,RIGHT('Resultat Journée'!C58,1))</f>
        <v>0</v>
      </c>
      <c r="E58" s="141">
        <f t="shared" si="13"/>
        <v>5.8000000000000003E-2</v>
      </c>
      <c r="J58" s="117"/>
      <c r="K58" s="117"/>
      <c r="L58" s="117"/>
      <c r="M58" s="117"/>
      <c r="N58" s="23"/>
      <c r="O58" s="23"/>
      <c r="P58" s="23"/>
    </row>
    <row r="59" spans="1:16" x14ac:dyDescent="0.25">
      <c r="A59" s="140">
        <f t="shared" si="12"/>
        <v>98</v>
      </c>
      <c r="C59" s="140" t="str">
        <f t="shared" si="14"/>
        <v>0-9</v>
      </c>
      <c r="D59" s="141">
        <f>COUNTIFS('DERNIER RESULTS'!I:I,LEFT('Resultat Journée'!C59,1),'DERNIER RESULTS'!J:J,RIGHT('Resultat Journée'!C59,1))</f>
        <v>0</v>
      </c>
      <c r="E59" s="141">
        <f t="shared" si="13"/>
        <v>5.8999999999999997E-2</v>
      </c>
      <c r="J59" s="117"/>
      <c r="K59" s="117"/>
      <c r="L59" s="117"/>
      <c r="M59" s="117"/>
      <c r="N59" s="23"/>
      <c r="O59" s="23"/>
      <c r="P59" s="23"/>
    </row>
    <row r="60" spans="1:16" x14ac:dyDescent="0.25">
      <c r="A60" s="140">
        <f t="shared" si="12"/>
        <v>6</v>
      </c>
      <c r="C60" s="140" t="str">
        <f t="shared" si="14"/>
        <v>1-0</v>
      </c>
      <c r="D60" s="141">
        <f>COUNTIFS('DERNIER RESULTS'!I:I,LEFT('Resultat Journée'!C60,1),'DERNIER RESULTS'!J:J,RIGHT('Resultat Journée'!C60,1))</f>
        <v>12</v>
      </c>
      <c r="E60" s="141">
        <f t="shared" si="13"/>
        <v>12.06</v>
      </c>
      <c r="J60" s="117"/>
      <c r="K60" s="117"/>
      <c r="L60" s="117"/>
      <c r="M60" s="117"/>
      <c r="N60" s="23"/>
      <c r="O60" s="23"/>
      <c r="P60" s="23"/>
    </row>
    <row r="61" spans="1:16" x14ac:dyDescent="0.25">
      <c r="A61" s="140">
        <f t="shared" si="12"/>
        <v>2</v>
      </c>
      <c r="C61" s="140" t="str">
        <f t="shared" si="14"/>
        <v>1-1</v>
      </c>
      <c r="D61" s="141">
        <f>COUNTIFS('DERNIER RESULTS'!I:I,LEFT('Resultat Journée'!C61,1),'DERNIER RESULTS'!J:J,RIGHT('Resultat Journée'!C61,1))</f>
        <v>21</v>
      </c>
      <c r="E61" s="141">
        <f t="shared" si="13"/>
        <v>21.061</v>
      </c>
      <c r="J61" s="117"/>
      <c r="K61" s="117"/>
      <c r="L61" s="117"/>
      <c r="M61" s="117"/>
      <c r="N61" s="23"/>
      <c r="O61" s="23"/>
      <c r="P61" s="23"/>
    </row>
    <row r="62" spans="1:16" x14ac:dyDescent="0.25">
      <c r="A62" s="140">
        <f t="shared" si="12"/>
        <v>3</v>
      </c>
      <c r="C62" s="140" t="str">
        <f t="shared" si="14"/>
        <v>1-2</v>
      </c>
      <c r="D62" s="141">
        <f>COUNTIFS('DERNIER RESULTS'!I:I,LEFT('Resultat Journée'!C62,1),'DERNIER RESULTS'!J:J,RIGHT('Resultat Journée'!C62,1))</f>
        <v>16</v>
      </c>
      <c r="E62" s="141">
        <f t="shared" si="13"/>
        <v>16.062000000000001</v>
      </c>
      <c r="J62" s="117"/>
      <c r="K62" s="117"/>
      <c r="L62" s="117"/>
      <c r="M62" s="117"/>
      <c r="N62" s="23"/>
      <c r="O62" s="23"/>
      <c r="P62" s="23"/>
    </row>
    <row r="63" spans="1:16" x14ac:dyDescent="0.25">
      <c r="A63" s="140">
        <f t="shared" si="12"/>
        <v>8</v>
      </c>
      <c r="C63" s="140" t="str">
        <f t="shared" si="14"/>
        <v>1-3</v>
      </c>
      <c r="D63" s="141">
        <f>COUNTIFS('DERNIER RESULTS'!I:I,LEFT('Resultat Journée'!C63,1),'DERNIER RESULTS'!J:J,RIGHT('Resultat Journée'!C63,1))</f>
        <v>10</v>
      </c>
      <c r="E63" s="141">
        <f t="shared" si="13"/>
        <v>10.063000000000001</v>
      </c>
      <c r="J63" s="117"/>
      <c r="K63" s="117"/>
      <c r="L63" s="117"/>
      <c r="M63" s="117"/>
      <c r="N63" s="23"/>
      <c r="O63" s="23"/>
      <c r="P63" s="23"/>
    </row>
    <row r="64" spans="1:16" x14ac:dyDescent="0.25">
      <c r="A64" s="140">
        <f t="shared" si="12"/>
        <v>22</v>
      </c>
      <c r="C64" s="140" t="str">
        <f t="shared" si="14"/>
        <v>1-4</v>
      </c>
      <c r="D64" s="141">
        <f>COUNTIFS('DERNIER RESULTS'!I:I,LEFT('Resultat Journée'!C64,1),'DERNIER RESULTS'!J:J,RIGHT('Resultat Journée'!C64,1))</f>
        <v>3</v>
      </c>
      <c r="E64" s="141">
        <f t="shared" si="13"/>
        <v>3.0640000000000001</v>
      </c>
      <c r="J64" s="117"/>
      <c r="K64" s="117"/>
      <c r="L64" s="117"/>
      <c r="M64" s="117"/>
      <c r="N64" s="23"/>
      <c r="O64" s="23"/>
      <c r="P64" s="23"/>
    </row>
    <row r="65" spans="1:16" x14ac:dyDescent="0.25">
      <c r="A65" s="140">
        <f t="shared" si="12"/>
        <v>26</v>
      </c>
      <c r="C65" s="140" t="str">
        <f t="shared" si="14"/>
        <v>1-5</v>
      </c>
      <c r="D65" s="141">
        <f>COUNTIFS('DERNIER RESULTS'!I:I,LEFT('Resultat Journée'!C65,1),'DERNIER RESULTS'!J:J,RIGHT('Resultat Journée'!C65,1))</f>
        <v>2</v>
      </c>
      <c r="E65" s="141">
        <f t="shared" si="13"/>
        <v>2.0649999999999999</v>
      </c>
      <c r="J65" s="117"/>
      <c r="K65" s="117"/>
      <c r="L65" s="117"/>
      <c r="M65" s="117"/>
      <c r="N65" s="23"/>
      <c r="O65" s="23"/>
      <c r="P65" s="23"/>
    </row>
    <row r="66" spans="1:16" x14ac:dyDescent="0.25">
      <c r="A66" s="140">
        <f t="shared" si="12"/>
        <v>97</v>
      </c>
      <c r="C66" s="140" t="str">
        <f t="shared" si="14"/>
        <v>1-6</v>
      </c>
      <c r="D66" s="141">
        <f>COUNTIFS('DERNIER RESULTS'!I:I,LEFT('Resultat Journée'!C66,1),'DERNIER RESULTS'!J:J,RIGHT('Resultat Journée'!C66,1))</f>
        <v>0</v>
      </c>
      <c r="E66" s="141">
        <f t="shared" si="13"/>
        <v>6.6000000000000003E-2</v>
      </c>
      <c r="J66" s="117"/>
      <c r="K66" s="117"/>
      <c r="L66" s="117"/>
      <c r="M66" s="117"/>
      <c r="N66" s="23"/>
      <c r="O66" s="23"/>
      <c r="P66" s="23"/>
    </row>
    <row r="67" spans="1:16" x14ac:dyDescent="0.25">
      <c r="A67" s="140">
        <f t="shared" si="12"/>
        <v>96</v>
      </c>
      <c r="C67" s="140" t="str">
        <f t="shared" si="14"/>
        <v>1-7</v>
      </c>
      <c r="D67" s="141">
        <f>COUNTIFS('DERNIER RESULTS'!I:I,LEFT('Resultat Journée'!C67,1),'DERNIER RESULTS'!J:J,RIGHT('Resultat Journée'!C67,1))</f>
        <v>0</v>
      </c>
      <c r="E67" s="141">
        <f t="shared" si="13"/>
        <v>6.7000000000000004E-2</v>
      </c>
      <c r="J67" s="117"/>
      <c r="K67" s="117"/>
      <c r="L67" s="117"/>
      <c r="M67" s="117"/>
      <c r="N67" s="23"/>
      <c r="O67" s="23"/>
      <c r="P67" s="23"/>
    </row>
    <row r="68" spans="1:16" x14ac:dyDescent="0.25">
      <c r="A68" s="140">
        <f t="shared" si="12"/>
        <v>95</v>
      </c>
      <c r="C68" s="140" t="str">
        <f t="shared" si="14"/>
        <v>1-8</v>
      </c>
      <c r="D68" s="141">
        <f>COUNTIFS('DERNIER RESULTS'!I:I,LEFT('Resultat Journée'!C68,1),'DERNIER RESULTS'!J:J,RIGHT('Resultat Journée'!C68,1))</f>
        <v>0</v>
      </c>
      <c r="E68" s="141">
        <f t="shared" si="13"/>
        <v>6.8000000000000005E-2</v>
      </c>
      <c r="J68" s="117"/>
      <c r="K68" s="117"/>
      <c r="L68" s="117"/>
      <c r="M68" s="117"/>
      <c r="N68" s="23"/>
      <c r="O68" s="23"/>
      <c r="P68" s="23"/>
    </row>
    <row r="69" spans="1:16" x14ac:dyDescent="0.25">
      <c r="A69" s="140">
        <f t="shared" si="12"/>
        <v>94</v>
      </c>
      <c r="C69" s="140" t="str">
        <f t="shared" si="14"/>
        <v>1-9</v>
      </c>
      <c r="D69" s="141">
        <f>COUNTIFS('DERNIER RESULTS'!I:I,LEFT('Resultat Journée'!C69,1),'DERNIER RESULTS'!J:J,RIGHT('Resultat Journée'!C69,1))</f>
        <v>0</v>
      </c>
      <c r="E69" s="141">
        <f t="shared" si="13"/>
        <v>6.9000000000000006E-2</v>
      </c>
      <c r="J69" s="117"/>
      <c r="K69" s="117"/>
      <c r="L69" s="117"/>
      <c r="M69" s="117"/>
      <c r="N69" s="23"/>
      <c r="O69" s="23"/>
      <c r="P69" s="23"/>
    </row>
    <row r="70" spans="1:16" x14ac:dyDescent="0.25">
      <c r="A70" s="140">
        <f t="shared" si="12"/>
        <v>4</v>
      </c>
      <c r="C70" s="140" t="str">
        <f t="shared" si="14"/>
        <v>2-0</v>
      </c>
      <c r="D70" s="141">
        <f>COUNTIFS('DERNIER RESULTS'!I:I,LEFT('Resultat Journée'!C70,1),'DERNIER RESULTS'!J:J,RIGHT('Resultat Journée'!C70,1))</f>
        <v>15</v>
      </c>
      <c r="E70" s="141">
        <f t="shared" si="13"/>
        <v>15.07</v>
      </c>
      <c r="J70" s="117"/>
      <c r="K70" s="117"/>
      <c r="L70" s="117"/>
      <c r="M70" s="117"/>
      <c r="N70" s="23"/>
      <c r="O70" s="23"/>
      <c r="P70" s="23"/>
    </row>
    <row r="71" spans="1:16" x14ac:dyDescent="0.25">
      <c r="A71" s="140">
        <f t="shared" si="12"/>
        <v>1</v>
      </c>
      <c r="C71" s="140" t="str">
        <f t="shared" si="14"/>
        <v>2-1</v>
      </c>
      <c r="D71" s="141">
        <f>COUNTIFS('DERNIER RESULTS'!I:I,LEFT('Resultat Journée'!C71,1),'DERNIER RESULTS'!J:J,RIGHT('Resultat Journée'!C71,1))</f>
        <v>21</v>
      </c>
      <c r="E71" s="141">
        <f t="shared" si="13"/>
        <v>21.071000000000002</v>
      </c>
      <c r="J71" s="117"/>
      <c r="K71" s="117"/>
      <c r="L71" s="117"/>
      <c r="M71" s="117"/>
      <c r="N71" s="23"/>
      <c r="O71" s="23"/>
      <c r="P71" s="23"/>
    </row>
    <row r="72" spans="1:16" x14ac:dyDescent="0.25">
      <c r="A72" s="140">
        <f t="shared" si="12"/>
        <v>5</v>
      </c>
      <c r="C72" s="140" t="str">
        <f t="shared" si="14"/>
        <v>2-2</v>
      </c>
      <c r="D72" s="141">
        <f>COUNTIFS('DERNIER RESULTS'!I:I,LEFT('Resultat Journée'!C72,1),'DERNIER RESULTS'!J:J,RIGHT('Resultat Journée'!C72,1))</f>
        <v>12</v>
      </c>
      <c r="E72" s="141">
        <f t="shared" si="13"/>
        <v>12.071999999999999</v>
      </c>
      <c r="J72" s="117"/>
      <c r="K72" s="117"/>
      <c r="L72" s="117"/>
      <c r="M72" s="117"/>
      <c r="N72" s="23"/>
      <c r="O72" s="23"/>
      <c r="P72" s="23"/>
    </row>
    <row r="73" spans="1:16" x14ac:dyDescent="0.25">
      <c r="A73" s="140">
        <f t="shared" si="12"/>
        <v>10</v>
      </c>
      <c r="C73" s="140" t="str">
        <f t="shared" si="14"/>
        <v>2-3</v>
      </c>
      <c r="D73" s="141">
        <f>COUNTIFS('DERNIER RESULTS'!I:I,LEFT('Resultat Journée'!C73,1),'DERNIER RESULTS'!J:J,RIGHT('Resultat Journée'!C73,1))</f>
        <v>9</v>
      </c>
      <c r="E73" s="141">
        <f t="shared" si="13"/>
        <v>9.0730000000000004</v>
      </c>
      <c r="J73" s="117"/>
      <c r="K73" s="117"/>
      <c r="L73" s="117"/>
      <c r="M73" s="117"/>
      <c r="N73" s="23"/>
      <c r="O73" s="23"/>
      <c r="P73" s="23"/>
    </row>
    <row r="74" spans="1:16" x14ac:dyDescent="0.25">
      <c r="A74" s="140">
        <f t="shared" si="12"/>
        <v>21</v>
      </c>
      <c r="C74" s="140" t="str">
        <f t="shared" si="14"/>
        <v>2-4</v>
      </c>
      <c r="D74" s="141">
        <f>COUNTIFS('DERNIER RESULTS'!I:I,LEFT('Resultat Journée'!C74,1),'DERNIER RESULTS'!J:J,RIGHT('Resultat Journée'!C74,1))</f>
        <v>4</v>
      </c>
      <c r="E74" s="141">
        <f t="shared" si="13"/>
        <v>4.0739999999999998</v>
      </c>
      <c r="J74" s="117"/>
      <c r="K74" s="117"/>
      <c r="L74" s="117"/>
      <c r="M74" s="117"/>
      <c r="N74" s="23"/>
      <c r="O74" s="23"/>
      <c r="P74" s="23"/>
    </row>
    <row r="75" spans="1:16" x14ac:dyDescent="0.25">
      <c r="A75" s="140">
        <f t="shared" si="12"/>
        <v>93</v>
      </c>
      <c r="C75" s="140" t="str">
        <f t="shared" si="14"/>
        <v>2-5</v>
      </c>
      <c r="D75" s="141">
        <f>COUNTIFS('DERNIER RESULTS'!I:I,LEFT('Resultat Journée'!C75,1),'DERNIER RESULTS'!J:J,RIGHT('Resultat Journée'!C75,1))</f>
        <v>0</v>
      </c>
      <c r="E75" s="141">
        <f t="shared" si="13"/>
        <v>7.4999999999999997E-2</v>
      </c>
      <c r="J75" s="117"/>
      <c r="K75" s="117"/>
      <c r="L75" s="117"/>
      <c r="M75" s="117"/>
      <c r="N75" s="23"/>
      <c r="O75" s="23"/>
      <c r="P75" s="23"/>
    </row>
    <row r="76" spans="1:16" x14ac:dyDescent="0.25">
      <c r="A76" s="140">
        <f t="shared" si="12"/>
        <v>92</v>
      </c>
      <c r="C76" s="140" t="str">
        <f t="shared" si="14"/>
        <v>2-6</v>
      </c>
      <c r="D76" s="141">
        <f>COUNTIFS('DERNIER RESULTS'!I:I,LEFT('Resultat Journée'!C76,1),'DERNIER RESULTS'!J:J,RIGHT('Resultat Journée'!C76,1))</f>
        <v>0</v>
      </c>
      <c r="E76" s="141">
        <f t="shared" si="13"/>
        <v>7.5999999999999998E-2</v>
      </c>
      <c r="J76" s="117"/>
      <c r="K76" s="117"/>
      <c r="L76" s="117"/>
      <c r="M76" s="117"/>
      <c r="N76" s="23"/>
      <c r="O76" s="23"/>
      <c r="P76" s="23"/>
    </row>
    <row r="77" spans="1:16" x14ac:dyDescent="0.25">
      <c r="A77" s="140">
        <f t="shared" si="12"/>
        <v>91</v>
      </c>
      <c r="C77" s="140" t="str">
        <f t="shared" si="14"/>
        <v>2-7</v>
      </c>
      <c r="D77" s="141">
        <f>COUNTIFS('DERNIER RESULTS'!I:I,LEFT('Resultat Journée'!C77,1),'DERNIER RESULTS'!J:J,RIGHT('Resultat Journée'!C77,1))</f>
        <v>0</v>
      </c>
      <c r="E77" s="141">
        <f t="shared" si="13"/>
        <v>7.6999999999999999E-2</v>
      </c>
      <c r="J77" s="117"/>
      <c r="K77" s="117"/>
      <c r="L77" s="117"/>
      <c r="M77" s="117"/>
      <c r="N77" s="23"/>
      <c r="O77" s="23"/>
      <c r="P77" s="23"/>
    </row>
    <row r="78" spans="1:16" x14ac:dyDescent="0.25">
      <c r="A78" s="140">
        <f t="shared" si="12"/>
        <v>90</v>
      </c>
      <c r="C78" s="140" t="str">
        <f t="shared" si="14"/>
        <v>2-8</v>
      </c>
      <c r="D78" s="141">
        <f>COUNTIFS('DERNIER RESULTS'!I:I,LEFT('Resultat Journée'!C78,1),'DERNIER RESULTS'!J:J,RIGHT('Resultat Journée'!C78,1))</f>
        <v>0</v>
      </c>
      <c r="E78" s="141">
        <f t="shared" si="13"/>
        <v>7.8E-2</v>
      </c>
      <c r="J78" s="117"/>
      <c r="K78" s="117"/>
      <c r="L78" s="117"/>
      <c r="M78" s="117"/>
      <c r="N78" s="23"/>
      <c r="O78" s="23"/>
      <c r="P78" s="23"/>
    </row>
    <row r="79" spans="1:16" x14ac:dyDescent="0.25">
      <c r="A79" s="140">
        <f t="shared" si="12"/>
        <v>89</v>
      </c>
      <c r="C79" s="140" t="str">
        <f t="shared" si="14"/>
        <v>2-9</v>
      </c>
      <c r="D79" s="141">
        <f>COUNTIFS('DERNIER RESULTS'!I:I,LEFT('Resultat Journée'!C79,1),'DERNIER RESULTS'!J:J,RIGHT('Resultat Journée'!C79,1))</f>
        <v>0</v>
      </c>
      <c r="E79" s="141">
        <f t="shared" si="13"/>
        <v>7.9000000000000001E-2</v>
      </c>
      <c r="J79" s="117"/>
      <c r="K79" s="117"/>
      <c r="L79" s="117"/>
      <c r="M79" s="117"/>
      <c r="N79" s="23"/>
      <c r="O79" s="23"/>
      <c r="P79" s="23"/>
    </row>
    <row r="80" spans="1:16" x14ac:dyDescent="0.25">
      <c r="A80" s="140">
        <f t="shared" si="12"/>
        <v>7</v>
      </c>
      <c r="C80" s="140" t="str">
        <f t="shared" si="14"/>
        <v>3-0</v>
      </c>
      <c r="D80" s="141">
        <f>COUNTIFS('DERNIER RESULTS'!I:I,LEFT('Resultat Journée'!C80,1),'DERNIER RESULTS'!J:J,RIGHT('Resultat Journée'!C80,1))</f>
        <v>10</v>
      </c>
      <c r="E80" s="141">
        <f t="shared" si="13"/>
        <v>10.08</v>
      </c>
      <c r="J80" s="117"/>
      <c r="K80" s="117"/>
      <c r="L80" s="117"/>
      <c r="M80" s="117"/>
      <c r="N80" s="23"/>
      <c r="O80" s="23"/>
      <c r="P80" s="23"/>
    </row>
    <row r="81" spans="1:16" x14ac:dyDescent="0.25">
      <c r="A81" s="140">
        <f t="shared" si="12"/>
        <v>9</v>
      </c>
      <c r="C81" s="140" t="str">
        <f t="shared" si="14"/>
        <v>3-1</v>
      </c>
      <c r="D81" s="141">
        <f>COUNTIFS('DERNIER RESULTS'!I:I,LEFT('Resultat Journée'!C81,1),'DERNIER RESULTS'!J:J,RIGHT('Resultat Journée'!C81,1))</f>
        <v>9</v>
      </c>
      <c r="E81" s="141">
        <f t="shared" si="13"/>
        <v>9.0809999999999995</v>
      </c>
      <c r="J81" s="117"/>
      <c r="K81" s="117"/>
      <c r="L81" s="117"/>
      <c r="M81" s="117"/>
      <c r="N81" s="23"/>
      <c r="O81" s="23"/>
      <c r="P81" s="23"/>
    </row>
    <row r="82" spans="1:16" x14ac:dyDescent="0.25">
      <c r="A82" s="140">
        <f t="shared" si="12"/>
        <v>20</v>
      </c>
      <c r="C82" s="140" t="str">
        <f t="shared" si="14"/>
        <v>3-2</v>
      </c>
      <c r="D82" s="141">
        <f>COUNTIFS('DERNIER RESULTS'!I:I,LEFT('Resultat Journée'!C82,1),'DERNIER RESULTS'!J:J,RIGHT('Resultat Journée'!C82,1))</f>
        <v>4</v>
      </c>
      <c r="E82" s="141">
        <f t="shared" si="13"/>
        <v>4.0819999999999999</v>
      </c>
      <c r="J82" s="117"/>
      <c r="K82" s="117"/>
      <c r="L82" s="117"/>
      <c r="M82" s="117"/>
      <c r="N82" s="23"/>
      <c r="O82" s="23"/>
      <c r="P82" s="23"/>
    </row>
    <row r="83" spans="1:16" x14ac:dyDescent="0.25">
      <c r="A83" s="140">
        <f t="shared" si="12"/>
        <v>19</v>
      </c>
      <c r="C83" s="140" t="str">
        <f t="shared" si="14"/>
        <v>3-3</v>
      </c>
      <c r="D83" s="141">
        <f>COUNTIFS('DERNIER RESULTS'!I:I,LEFT('Resultat Journée'!C83,1),'DERNIER RESULTS'!J:J,RIGHT('Resultat Journée'!C83,1))</f>
        <v>4</v>
      </c>
      <c r="E83" s="141">
        <f t="shared" si="13"/>
        <v>4.0830000000000002</v>
      </c>
      <c r="J83" s="117"/>
      <c r="K83" s="117"/>
      <c r="L83" s="117"/>
      <c r="M83" s="117"/>
      <c r="N83" s="23"/>
      <c r="O83" s="23"/>
      <c r="P83" s="23"/>
    </row>
    <row r="84" spans="1:16" x14ac:dyDescent="0.25">
      <c r="A84" s="140">
        <f t="shared" si="12"/>
        <v>88</v>
      </c>
      <c r="C84" s="140" t="str">
        <f t="shared" si="14"/>
        <v>3-4</v>
      </c>
      <c r="D84" s="141">
        <f>COUNTIFS('DERNIER RESULTS'!I:I,LEFT('Resultat Journée'!C84,1),'DERNIER RESULTS'!J:J,RIGHT('Resultat Journée'!C84,1))</f>
        <v>0</v>
      </c>
      <c r="E84" s="141">
        <f t="shared" si="13"/>
        <v>8.4000000000000005E-2</v>
      </c>
      <c r="J84" s="117"/>
      <c r="K84" s="117"/>
      <c r="L84" s="117"/>
      <c r="M84" s="117"/>
      <c r="N84" s="23"/>
      <c r="O84" s="23"/>
      <c r="P84" s="23"/>
    </row>
    <row r="85" spans="1:16" x14ac:dyDescent="0.25">
      <c r="A85" s="140">
        <f t="shared" si="12"/>
        <v>30</v>
      </c>
      <c r="C85" s="140" t="str">
        <f t="shared" si="14"/>
        <v>3-5</v>
      </c>
      <c r="D85" s="141">
        <f>COUNTIFS('DERNIER RESULTS'!I:I,LEFT('Resultat Journée'!C85,1),'DERNIER RESULTS'!J:J,RIGHT('Resultat Journée'!C85,1))</f>
        <v>1</v>
      </c>
      <c r="E85" s="141">
        <f t="shared" si="13"/>
        <v>1.085</v>
      </c>
      <c r="J85" s="117"/>
      <c r="K85" s="117"/>
      <c r="L85" s="117"/>
      <c r="M85" s="117"/>
      <c r="N85" s="23"/>
      <c r="O85" s="23"/>
      <c r="P85" s="23"/>
    </row>
    <row r="86" spans="1:16" x14ac:dyDescent="0.25">
      <c r="A86" s="140">
        <f t="shared" si="12"/>
        <v>87</v>
      </c>
      <c r="C86" s="140" t="str">
        <f t="shared" si="14"/>
        <v>3-6</v>
      </c>
      <c r="D86" s="141">
        <f>COUNTIFS('DERNIER RESULTS'!I:I,LEFT('Resultat Journée'!C86,1),'DERNIER RESULTS'!J:J,RIGHT('Resultat Journée'!C86,1))</f>
        <v>0</v>
      </c>
      <c r="E86" s="141">
        <f t="shared" si="13"/>
        <v>8.5999999999999993E-2</v>
      </c>
      <c r="J86" s="117"/>
      <c r="K86" s="117"/>
      <c r="L86" s="117"/>
      <c r="M86" s="117"/>
      <c r="N86" s="23"/>
      <c r="O86" s="23"/>
      <c r="P86" s="23"/>
    </row>
    <row r="87" spans="1:16" x14ac:dyDescent="0.25">
      <c r="A87" s="140">
        <f t="shared" si="12"/>
        <v>86</v>
      </c>
      <c r="C87" s="140" t="str">
        <f t="shared" si="14"/>
        <v>3-7</v>
      </c>
      <c r="D87" s="141">
        <f>COUNTIFS('DERNIER RESULTS'!I:I,LEFT('Resultat Journée'!C87,1),'DERNIER RESULTS'!J:J,RIGHT('Resultat Journée'!C87,1))</f>
        <v>0</v>
      </c>
      <c r="E87" s="141">
        <f t="shared" si="13"/>
        <v>8.6999999999999994E-2</v>
      </c>
      <c r="J87" s="117"/>
      <c r="K87" s="117"/>
      <c r="L87" s="117"/>
      <c r="M87" s="117"/>
      <c r="N87" s="23"/>
      <c r="O87" s="23"/>
      <c r="P87" s="23"/>
    </row>
    <row r="88" spans="1:16" x14ac:dyDescent="0.25">
      <c r="A88" s="140">
        <f t="shared" si="12"/>
        <v>85</v>
      </c>
      <c r="C88" s="140" t="str">
        <f t="shared" si="14"/>
        <v>3-8</v>
      </c>
      <c r="D88" s="141">
        <f>COUNTIFS('DERNIER RESULTS'!I:I,LEFT('Resultat Journée'!C88,1),'DERNIER RESULTS'!J:J,RIGHT('Resultat Journée'!C88,1))</f>
        <v>0</v>
      </c>
      <c r="E88" s="141">
        <f t="shared" si="13"/>
        <v>8.7999999999999995E-2</v>
      </c>
      <c r="J88" s="117"/>
      <c r="K88" s="117"/>
      <c r="L88" s="117"/>
      <c r="M88" s="117"/>
      <c r="N88" s="23"/>
      <c r="O88" s="23"/>
      <c r="P88" s="23"/>
    </row>
    <row r="89" spans="1:16" x14ac:dyDescent="0.25">
      <c r="A89" s="140">
        <f t="shared" si="12"/>
        <v>84</v>
      </c>
      <c r="C89" s="140" t="str">
        <f t="shared" si="14"/>
        <v>3-9</v>
      </c>
      <c r="D89" s="141">
        <f>COUNTIFS('DERNIER RESULTS'!I:I,LEFT('Resultat Journée'!C89,1),'DERNIER RESULTS'!J:J,RIGHT('Resultat Journée'!C89,1))</f>
        <v>0</v>
      </c>
      <c r="E89" s="141">
        <f t="shared" si="13"/>
        <v>8.8999999999999996E-2</v>
      </c>
      <c r="J89" s="117"/>
      <c r="K89" s="117"/>
      <c r="L89" s="117"/>
      <c r="M89" s="117"/>
      <c r="N89" s="23"/>
      <c r="O89" s="23"/>
      <c r="P89" s="23"/>
    </row>
    <row r="90" spans="1:16" x14ac:dyDescent="0.25">
      <c r="A90" s="140">
        <f t="shared" si="12"/>
        <v>13</v>
      </c>
      <c r="C90" s="140" t="str">
        <f t="shared" si="14"/>
        <v>4-0</v>
      </c>
      <c r="D90" s="141">
        <f>COUNTIFS('DERNIER RESULTS'!I:I,LEFT('Resultat Journée'!C90,1),'DERNIER RESULTS'!J:J,RIGHT('Resultat Journée'!C90,1))</f>
        <v>7</v>
      </c>
      <c r="E90" s="141">
        <f t="shared" si="13"/>
        <v>7.09</v>
      </c>
      <c r="J90" s="117"/>
      <c r="K90" s="117"/>
      <c r="L90" s="117"/>
      <c r="M90" s="117"/>
      <c r="N90" s="23"/>
      <c r="O90" s="23"/>
      <c r="P90" s="23"/>
    </row>
    <row r="91" spans="1:16" x14ac:dyDescent="0.25">
      <c r="A91" s="140">
        <f t="shared" si="12"/>
        <v>29</v>
      </c>
      <c r="C91" s="140" t="str">
        <f t="shared" si="14"/>
        <v>4-1</v>
      </c>
      <c r="D91" s="141">
        <f>COUNTIFS('DERNIER RESULTS'!I:I,LEFT('Resultat Journée'!C91,1),'DERNIER RESULTS'!J:J,RIGHT('Resultat Journée'!C91,1))</f>
        <v>1</v>
      </c>
      <c r="E91" s="141">
        <f t="shared" si="13"/>
        <v>1.091</v>
      </c>
      <c r="J91" s="117"/>
      <c r="K91" s="117"/>
      <c r="L91" s="117"/>
      <c r="M91" s="117"/>
      <c r="N91" s="23"/>
      <c r="O91" s="23"/>
      <c r="P91" s="23"/>
    </row>
    <row r="92" spans="1:16" x14ac:dyDescent="0.25">
      <c r="A92" s="140">
        <f t="shared" si="12"/>
        <v>25</v>
      </c>
      <c r="C92" s="140" t="str">
        <f t="shared" si="14"/>
        <v>4-2</v>
      </c>
      <c r="D92" s="141">
        <f>COUNTIFS('DERNIER RESULTS'!I:I,LEFT('Resultat Journée'!C92,1),'DERNIER RESULTS'!J:J,RIGHT('Resultat Journée'!C92,1))</f>
        <v>2</v>
      </c>
      <c r="E92" s="141">
        <f t="shared" si="13"/>
        <v>2.0920000000000001</v>
      </c>
      <c r="J92" s="117"/>
      <c r="K92" s="117"/>
      <c r="L92" s="117"/>
      <c r="M92" s="117"/>
      <c r="N92" s="23"/>
      <c r="O92" s="23"/>
      <c r="P92" s="23"/>
    </row>
    <row r="93" spans="1:16" x14ac:dyDescent="0.25">
      <c r="A93" s="140">
        <f t="shared" si="12"/>
        <v>28</v>
      </c>
      <c r="C93" s="140" t="str">
        <f t="shared" si="14"/>
        <v>4-3</v>
      </c>
      <c r="D93" s="141">
        <f>COUNTIFS('DERNIER RESULTS'!I:I,LEFT('Resultat Journée'!C93,1),'DERNIER RESULTS'!J:J,RIGHT('Resultat Journée'!C93,1))</f>
        <v>1</v>
      </c>
      <c r="E93" s="141">
        <f t="shared" si="13"/>
        <v>1.093</v>
      </c>
      <c r="J93" s="117"/>
      <c r="K93" s="117"/>
      <c r="L93" s="117"/>
      <c r="M93" s="117"/>
      <c r="N93" s="23"/>
      <c r="O93" s="23"/>
      <c r="P93" s="23"/>
    </row>
    <row r="94" spans="1:16" x14ac:dyDescent="0.25">
      <c r="A94" s="140">
        <f t="shared" si="12"/>
        <v>83</v>
      </c>
      <c r="C94" s="140" t="str">
        <f t="shared" si="14"/>
        <v>4-4</v>
      </c>
      <c r="D94" s="141">
        <f>COUNTIFS('DERNIER RESULTS'!I:I,LEFT('Resultat Journée'!C94,1),'DERNIER RESULTS'!J:J,RIGHT('Resultat Journée'!C94,1))</f>
        <v>0</v>
      </c>
      <c r="E94" s="141">
        <f t="shared" si="13"/>
        <v>9.4E-2</v>
      </c>
      <c r="J94" s="117"/>
      <c r="K94" s="117"/>
      <c r="L94" s="117"/>
      <c r="M94" s="117"/>
      <c r="N94" s="23"/>
      <c r="O94" s="23"/>
      <c r="P94" s="23"/>
    </row>
    <row r="95" spans="1:16" x14ac:dyDescent="0.25">
      <c r="A95" s="140">
        <f t="shared" si="12"/>
        <v>82</v>
      </c>
      <c r="C95" s="140" t="str">
        <f t="shared" si="14"/>
        <v>4-5</v>
      </c>
      <c r="D95" s="141">
        <f>COUNTIFS('DERNIER RESULTS'!I:I,LEFT('Resultat Journée'!C95,1),'DERNIER RESULTS'!J:J,RIGHT('Resultat Journée'!C95,1))</f>
        <v>0</v>
      </c>
      <c r="E95" s="141">
        <f t="shared" si="13"/>
        <v>9.5000000000000001E-2</v>
      </c>
      <c r="J95" s="117"/>
      <c r="K95" s="117"/>
      <c r="L95" s="117"/>
      <c r="M95" s="117"/>
      <c r="N95" s="23"/>
      <c r="O95" s="23"/>
      <c r="P95" s="23"/>
    </row>
    <row r="96" spans="1:16" x14ac:dyDescent="0.25">
      <c r="A96" s="140">
        <f t="shared" si="12"/>
        <v>81</v>
      </c>
      <c r="C96" s="140" t="str">
        <f t="shared" si="14"/>
        <v>4-6</v>
      </c>
      <c r="D96" s="141">
        <f>COUNTIFS('DERNIER RESULTS'!I:I,LEFT('Resultat Journée'!C96,1),'DERNIER RESULTS'!J:J,RIGHT('Resultat Journée'!C96,1))</f>
        <v>0</v>
      </c>
      <c r="E96" s="141">
        <f t="shared" si="13"/>
        <v>9.6000000000000002E-2</v>
      </c>
      <c r="J96" s="117"/>
      <c r="K96" s="117"/>
      <c r="L96" s="117"/>
      <c r="M96" s="117"/>
      <c r="N96" s="23"/>
      <c r="O96" s="23"/>
      <c r="P96" s="23"/>
    </row>
    <row r="97" spans="1:16" x14ac:dyDescent="0.25">
      <c r="A97" s="140">
        <f t="shared" si="12"/>
        <v>80</v>
      </c>
      <c r="C97" s="140" t="str">
        <f t="shared" si="14"/>
        <v>4-7</v>
      </c>
      <c r="D97" s="141">
        <f>COUNTIFS('DERNIER RESULTS'!I:I,LEFT('Resultat Journée'!C97,1),'DERNIER RESULTS'!J:J,RIGHT('Resultat Journée'!C97,1))</f>
        <v>0</v>
      </c>
      <c r="E97" s="141">
        <f t="shared" si="13"/>
        <v>9.7000000000000003E-2</v>
      </c>
      <c r="J97" s="117"/>
      <c r="K97" s="117"/>
      <c r="L97" s="117"/>
      <c r="M97" s="117"/>
      <c r="N97" s="23"/>
      <c r="O97" s="23"/>
      <c r="P97" s="23"/>
    </row>
    <row r="98" spans="1:16" x14ac:dyDescent="0.25">
      <c r="A98" s="140">
        <f t="shared" si="12"/>
        <v>79</v>
      </c>
      <c r="C98" s="140" t="str">
        <f t="shared" si="14"/>
        <v>4-8</v>
      </c>
      <c r="D98" s="141">
        <f>COUNTIFS('DERNIER RESULTS'!I:I,LEFT('Resultat Journée'!C98,1),'DERNIER RESULTS'!J:J,RIGHT('Resultat Journée'!C98,1))</f>
        <v>0</v>
      </c>
      <c r="E98" s="141">
        <f t="shared" si="13"/>
        <v>9.8000000000000004E-2</v>
      </c>
      <c r="J98" s="117"/>
      <c r="K98" s="117"/>
      <c r="L98" s="117"/>
      <c r="M98" s="117"/>
      <c r="N98" s="23"/>
      <c r="O98" s="23"/>
      <c r="P98" s="23"/>
    </row>
    <row r="99" spans="1:16" x14ac:dyDescent="0.25">
      <c r="A99" s="140">
        <f t="shared" si="12"/>
        <v>78</v>
      </c>
      <c r="C99" s="140" t="str">
        <f t="shared" si="14"/>
        <v>4-9</v>
      </c>
      <c r="D99" s="141">
        <f>COUNTIFS('DERNIER RESULTS'!I:I,LEFT('Resultat Journée'!C99,1),'DERNIER RESULTS'!J:J,RIGHT('Resultat Journée'!C99,1))</f>
        <v>0</v>
      </c>
      <c r="E99" s="141">
        <f t="shared" si="13"/>
        <v>9.9000000000000005E-2</v>
      </c>
      <c r="J99" s="117"/>
      <c r="K99" s="117"/>
      <c r="L99" s="117"/>
      <c r="M99" s="117"/>
      <c r="N99" s="23"/>
      <c r="O99" s="23"/>
      <c r="P99" s="23"/>
    </row>
    <row r="100" spans="1:16" x14ac:dyDescent="0.25">
      <c r="A100" s="140">
        <f t="shared" si="12"/>
        <v>18</v>
      </c>
      <c r="C100" s="140" t="str">
        <f t="shared" si="14"/>
        <v>5-0</v>
      </c>
      <c r="D100" s="141">
        <f>COUNTIFS('DERNIER RESULTS'!I:I,LEFT('Resultat Journée'!C100,1),'DERNIER RESULTS'!J:J,RIGHT('Resultat Journée'!C100,1))</f>
        <v>4</v>
      </c>
      <c r="E100" s="141">
        <f t="shared" si="13"/>
        <v>4.0999999999999996</v>
      </c>
      <c r="J100" s="117"/>
      <c r="K100" s="117"/>
      <c r="L100" s="117"/>
      <c r="M100" s="117"/>
      <c r="N100" s="23"/>
      <c r="O100" s="23"/>
      <c r="P100" s="23"/>
    </row>
    <row r="101" spans="1:16" x14ac:dyDescent="0.25">
      <c r="A101" s="140">
        <f t="shared" si="12"/>
        <v>17</v>
      </c>
      <c r="C101" s="140" t="str">
        <f t="shared" si="14"/>
        <v>5-1</v>
      </c>
      <c r="D101" s="141">
        <f>COUNTIFS('DERNIER RESULTS'!I:I,LEFT('Resultat Journée'!C101,1),'DERNIER RESULTS'!J:J,RIGHT('Resultat Journée'!C101,1))</f>
        <v>4</v>
      </c>
      <c r="E101" s="141">
        <f t="shared" si="13"/>
        <v>4.101</v>
      </c>
      <c r="J101" s="117"/>
      <c r="K101" s="117"/>
      <c r="L101" s="117"/>
      <c r="M101" s="117"/>
      <c r="N101" s="23"/>
      <c r="O101" s="23"/>
      <c r="P101" s="23"/>
    </row>
    <row r="102" spans="1:16" x14ac:dyDescent="0.25">
      <c r="A102" s="140">
        <f t="shared" si="12"/>
        <v>77</v>
      </c>
      <c r="C102" s="140" t="str">
        <f t="shared" si="14"/>
        <v>5-2</v>
      </c>
      <c r="D102" s="141">
        <f>COUNTIFS('DERNIER RESULTS'!I:I,LEFT('Resultat Journée'!C102,1),'DERNIER RESULTS'!J:J,RIGHT('Resultat Journée'!C102,1))</f>
        <v>0</v>
      </c>
      <c r="E102" s="141">
        <f t="shared" si="13"/>
        <v>0.10199999999999999</v>
      </c>
      <c r="J102" s="117"/>
      <c r="K102" s="117"/>
      <c r="L102" s="117"/>
      <c r="M102" s="117"/>
      <c r="N102" s="23"/>
      <c r="O102" s="23"/>
      <c r="P102" s="23"/>
    </row>
    <row r="103" spans="1:16" x14ac:dyDescent="0.25">
      <c r="A103" s="140">
        <f t="shared" si="12"/>
        <v>76</v>
      </c>
      <c r="C103" s="140" t="str">
        <f t="shared" si="14"/>
        <v>5-3</v>
      </c>
      <c r="D103" s="141">
        <f>COUNTIFS('DERNIER RESULTS'!I:I,LEFT('Resultat Journée'!C103,1),'DERNIER RESULTS'!J:J,RIGHT('Resultat Journée'!C103,1))</f>
        <v>0</v>
      </c>
      <c r="E103" s="141">
        <f t="shared" si="13"/>
        <v>0.10299999999999999</v>
      </c>
      <c r="J103" s="117"/>
      <c r="K103" s="117"/>
      <c r="L103" s="117"/>
      <c r="M103" s="117"/>
      <c r="N103" s="23"/>
      <c r="O103" s="23"/>
      <c r="P103" s="23"/>
    </row>
    <row r="104" spans="1:16" x14ac:dyDescent="0.25">
      <c r="A104" s="140">
        <f t="shared" si="12"/>
        <v>75</v>
      </c>
      <c r="C104" s="140" t="str">
        <f t="shared" si="14"/>
        <v>5-4</v>
      </c>
      <c r="D104" s="141">
        <f>COUNTIFS('DERNIER RESULTS'!I:I,LEFT('Resultat Journée'!C104,1),'DERNIER RESULTS'!J:J,RIGHT('Resultat Journée'!C104,1))</f>
        <v>0</v>
      </c>
      <c r="E104" s="141">
        <f t="shared" si="13"/>
        <v>0.104</v>
      </c>
      <c r="J104" s="117"/>
      <c r="K104" s="117"/>
      <c r="L104" s="117"/>
      <c r="M104" s="117"/>
      <c r="N104" s="23"/>
      <c r="O104" s="23"/>
      <c r="P104" s="23"/>
    </row>
    <row r="105" spans="1:16" x14ac:dyDescent="0.25">
      <c r="A105" s="140">
        <f t="shared" si="12"/>
        <v>74</v>
      </c>
      <c r="C105" s="140" t="str">
        <f t="shared" si="14"/>
        <v>5-5</v>
      </c>
      <c r="D105" s="141">
        <f>COUNTIFS('DERNIER RESULTS'!I:I,LEFT('Resultat Journée'!C105,1),'DERNIER RESULTS'!J:J,RIGHT('Resultat Journée'!C105,1))</f>
        <v>0</v>
      </c>
      <c r="E105" s="141">
        <f t="shared" si="13"/>
        <v>0.105</v>
      </c>
      <c r="J105" s="117"/>
      <c r="K105" s="117"/>
      <c r="L105" s="117"/>
      <c r="M105" s="117"/>
      <c r="N105" s="23"/>
      <c r="O105" s="23"/>
      <c r="P105" s="23"/>
    </row>
    <row r="106" spans="1:16" x14ac:dyDescent="0.25">
      <c r="A106" s="140">
        <f t="shared" si="12"/>
        <v>73</v>
      </c>
      <c r="C106" s="140" t="str">
        <f t="shared" si="14"/>
        <v>5-6</v>
      </c>
      <c r="D106" s="141">
        <f>COUNTIFS('DERNIER RESULTS'!I:I,LEFT('Resultat Journée'!C106,1),'DERNIER RESULTS'!J:J,RIGHT('Resultat Journée'!C106,1))</f>
        <v>0</v>
      </c>
      <c r="E106" s="141">
        <f t="shared" si="13"/>
        <v>0.106</v>
      </c>
      <c r="J106" s="117"/>
      <c r="K106" s="117"/>
      <c r="L106" s="117"/>
      <c r="M106" s="117"/>
      <c r="N106" s="23"/>
      <c r="O106" s="23"/>
      <c r="P106" s="23"/>
    </row>
    <row r="107" spans="1:16" x14ac:dyDescent="0.25">
      <c r="A107" s="140">
        <f t="shared" si="12"/>
        <v>72</v>
      </c>
      <c r="C107" s="140" t="str">
        <f t="shared" si="14"/>
        <v>5-7</v>
      </c>
      <c r="D107" s="141">
        <f>COUNTIFS('DERNIER RESULTS'!I:I,LEFT('Resultat Journée'!C107,1),'DERNIER RESULTS'!J:J,RIGHT('Resultat Journée'!C107,1))</f>
        <v>0</v>
      </c>
      <c r="E107" s="141">
        <f t="shared" si="13"/>
        <v>0.107</v>
      </c>
      <c r="J107" s="117"/>
      <c r="K107" s="117"/>
      <c r="L107" s="117"/>
      <c r="M107" s="117"/>
      <c r="N107" s="23"/>
      <c r="O107" s="23"/>
      <c r="P107" s="23"/>
    </row>
    <row r="108" spans="1:16" x14ac:dyDescent="0.25">
      <c r="A108" s="140">
        <f t="shared" si="12"/>
        <v>71</v>
      </c>
      <c r="C108" s="140" t="str">
        <f t="shared" si="14"/>
        <v>5-8</v>
      </c>
      <c r="D108" s="141">
        <f>COUNTIFS('DERNIER RESULTS'!I:I,LEFT('Resultat Journée'!C108,1),'DERNIER RESULTS'!J:J,RIGHT('Resultat Journée'!C108,1))</f>
        <v>0</v>
      </c>
      <c r="E108" s="141">
        <f t="shared" si="13"/>
        <v>0.108</v>
      </c>
      <c r="J108" s="117"/>
      <c r="K108" s="117"/>
      <c r="L108" s="117"/>
      <c r="M108" s="117"/>
      <c r="N108" s="23"/>
      <c r="O108" s="23"/>
      <c r="P108" s="23"/>
    </row>
    <row r="109" spans="1:16" x14ac:dyDescent="0.25">
      <c r="A109" s="140">
        <f t="shared" si="12"/>
        <v>70</v>
      </c>
      <c r="C109" s="140" t="str">
        <f t="shared" si="14"/>
        <v>5-9</v>
      </c>
      <c r="D109" s="141">
        <f>COUNTIFS('DERNIER RESULTS'!I:I,LEFT('Resultat Journée'!C109,1),'DERNIER RESULTS'!J:J,RIGHT('Resultat Journée'!C109,1))</f>
        <v>0</v>
      </c>
      <c r="E109" s="141">
        <f t="shared" si="13"/>
        <v>0.109</v>
      </c>
      <c r="J109" s="117"/>
      <c r="K109" s="117"/>
      <c r="L109" s="117"/>
      <c r="M109" s="117"/>
      <c r="N109" s="23"/>
      <c r="O109" s="23"/>
      <c r="P109" s="23"/>
    </row>
    <row r="110" spans="1:16" x14ac:dyDescent="0.25">
      <c r="A110" s="140">
        <f t="shared" si="12"/>
        <v>69</v>
      </c>
      <c r="C110" s="140" t="str">
        <f t="shared" si="14"/>
        <v>6-0</v>
      </c>
      <c r="D110" s="141">
        <f>COUNTIFS('DERNIER RESULTS'!I:I,LEFT('Resultat Journée'!C110,1),'DERNIER RESULTS'!J:J,RIGHT('Resultat Journée'!C110,1))</f>
        <v>0</v>
      </c>
      <c r="E110" s="141">
        <f t="shared" si="13"/>
        <v>0.11</v>
      </c>
      <c r="J110" s="117"/>
      <c r="K110" s="117"/>
      <c r="L110" s="117"/>
      <c r="M110" s="117"/>
      <c r="N110" s="23"/>
      <c r="O110" s="23"/>
      <c r="P110" s="23"/>
    </row>
    <row r="111" spans="1:16" x14ac:dyDescent="0.25">
      <c r="A111" s="140">
        <f t="shared" si="12"/>
        <v>24</v>
      </c>
      <c r="C111" s="140" t="str">
        <f t="shared" si="14"/>
        <v>6-1</v>
      </c>
      <c r="D111" s="141">
        <f>COUNTIFS('DERNIER RESULTS'!I:I,LEFT('Resultat Journée'!C111,1),'DERNIER RESULTS'!J:J,RIGHT('Resultat Journée'!C111,1))</f>
        <v>2</v>
      </c>
      <c r="E111" s="141">
        <f t="shared" si="13"/>
        <v>2.1110000000000002</v>
      </c>
      <c r="J111" s="117"/>
      <c r="K111" s="117"/>
      <c r="L111" s="117"/>
      <c r="M111" s="117"/>
      <c r="N111" s="23"/>
      <c r="O111" s="23"/>
      <c r="P111" s="23"/>
    </row>
    <row r="112" spans="1:16" x14ac:dyDescent="0.25">
      <c r="A112" s="140">
        <f t="shared" si="12"/>
        <v>68</v>
      </c>
      <c r="C112" s="140" t="str">
        <f t="shared" si="14"/>
        <v>6-2</v>
      </c>
      <c r="D112" s="141">
        <f>COUNTIFS('DERNIER RESULTS'!I:I,LEFT('Resultat Journée'!C112,1),'DERNIER RESULTS'!J:J,RIGHT('Resultat Journée'!C112,1))</f>
        <v>0</v>
      </c>
      <c r="E112" s="141">
        <f t="shared" si="13"/>
        <v>0.112</v>
      </c>
      <c r="J112" s="117"/>
      <c r="K112" s="117"/>
      <c r="L112" s="117"/>
      <c r="M112" s="117"/>
      <c r="N112" s="23"/>
      <c r="O112" s="23"/>
      <c r="P112" s="23"/>
    </row>
    <row r="113" spans="1:16" x14ac:dyDescent="0.25">
      <c r="A113" s="140">
        <f t="shared" si="12"/>
        <v>67</v>
      </c>
      <c r="C113" s="140" t="str">
        <f t="shared" si="14"/>
        <v>6-3</v>
      </c>
      <c r="D113" s="141">
        <f>COUNTIFS('DERNIER RESULTS'!I:I,LEFT('Resultat Journée'!C113,1),'DERNIER RESULTS'!J:J,RIGHT('Resultat Journée'!C113,1))</f>
        <v>0</v>
      </c>
      <c r="E113" s="141">
        <f t="shared" si="13"/>
        <v>0.113</v>
      </c>
      <c r="J113" s="117"/>
      <c r="K113" s="117"/>
      <c r="L113" s="117"/>
      <c r="M113" s="117"/>
      <c r="N113" s="23"/>
      <c r="O113" s="23"/>
      <c r="P113" s="23"/>
    </row>
    <row r="114" spans="1:16" x14ac:dyDescent="0.25">
      <c r="A114" s="140">
        <f t="shared" si="12"/>
        <v>66</v>
      </c>
      <c r="C114" s="140" t="str">
        <f t="shared" si="14"/>
        <v>6-4</v>
      </c>
      <c r="D114" s="141">
        <f>COUNTIFS('DERNIER RESULTS'!I:I,LEFT('Resultat Journée'!C114,1),'DERNIER RESULTS'!J:J,RIGHT('Resultat Journée'!C114,1))</f>
        <v>0</v>
      </c>
      <c r="E114" s="141">
        <f t="shared" si="13"/>
        <v>0.114</v>
      </c>
      <c r="J114" s="117"/>
      <c r="K114" s="117"/>
      <c r="L114" s="117"/>
      <c r="M114" s="117"/>
      <c r="N114" s="23"/>
      <c r="O114" s="23"/>
      <c r="P114" s="23"/>
    </row>
    <row r="115" spans="1:16" x14ac:dyDescent="0.25">
      <c r="A115" s="140">
        <f t="shared" ref="A115:A149" si="15">RANK(E115,E$50:E$149)</f>
        <v>65</v>
      </c>
      <c r="C115" s="140" t="str">
        <f t="shared" si="14"/>
        <v>6-5</v>
      </c>
      <c r="D115" s="141">
        <f>COUNTIFS('DERNIER RESULTS'!I:I,LEFT('Resultat Journée'!C115,1),'DERNIER RESULTS'!J:J,RIGHT('Resultat Journée'!C115,1))</f>
        <v>0</v>
      </c>
      <c r="E115" s="141">
        <f t="shared" ref="E115:E149" si="16">D115+ROW()/1000</f>
        <v>0.115</v>
      </c>
      <c r="J115" s="117"/>
      <c r="K115" s="117"/>
      <c r="L115" s="117"/>
      <c r="M115" s="117"/>
      <c r="N115" s="23"/>
      <c r="O115" s="23"/>
      <c r="P115" s="23"/>
    </row>
    <row r="116" spans="1:16" x14ac:dyDescent="0.25">
      <c r="A116" s="140">
        <f t="shared" si="15"/>
        <v>64</v>
      </c>
      <c r="C116" s="140" t="str">
        <f t="shared" ref="C116:C149" si="17">CONCATENATE(INT((ROW()-50)/10),"-",ROW()-INT(((ROW()-50)/10))*10-50)</f>
        <v>6-6</v>
      </c>
      <c r="D116" s="141">
        <f>COUNTIFS('DERNIER RESULTS'!I:I,LEFT('Resultat Journée'!C116,1),'DERNIER RESULTS'!J:J,RIGHT('Resultat Journée'!C116,1))</f>
        <v>0</v>
      </c>
      <c r="E116" s="141">
        <f t="shared" si="16"/>
        <v>0.11600000000000001</v>
      </c>
      <c r="J116" s="117"/>
      <c r="K116" s="117"/>
      <c r="L116" s="117"/>
      <c r="M116" s="117"/>
      <c r="N116" s="23"/>
      <c r="O116" s="23"/>
      <c r="P116" s="23"/>
    </row>
    <row r="117" spans="1:16" x14ac:dyDescent="0.25">
      <c r="A117" s="140">
        <f t="shared" si="15"/>
        <v>63</v>
      </c>
      <c r="C117" s="140" t="str">
        <f t="shared" si="17"/>
        <v>6-7</v>
      </c>
      <c r="D117" s="141">
        <f>COUNTIFS('DERNIER RESULTS'!I:I,LEFT('Resultat Journée'!C117,1),'DERNIER RESULTS'!J:J,RIGHT('Resultat Journée'!C117,1))</f>
        <v>0</v>
      </c>
      <c r="E117" s="141">
        <f t="shared" si="16"/>
        <v>0.11700000000000001</v>
      </c>
      <c r="J117" s="117"/>
      <c r="K117" s="117"/>
      <c r="L117" s="117"/>
      <c r="M117" s="117"/>
      <c r="N117" s="23"/>
      <c r="O117" s="23"/>
      <c r="P117" s="23"/>
    </row>
    <row r="118" spans="1:16" x14ac:dyDescent="0.25">
      <c r="A118" s="140">
        <f t="shared" si="15"/>
        <v>62</v>
      </c>
      <c r="C118" s="140" t="str">
        <f t="shared" si="17"/>
        <v>6-8</v>
      </c>
      <c r="D118" s="141">
        <f>COUNTIFS('DERNIER RESULTS'!I:I,LEFT('Resultat Journée'!C118,1),'DERNIER RESULTS'!J:J,RIGHT('Resultat Journée'!C118,1))</f>
        <v>0</v>
      </c>
      <c r="E118" s="141">
        <f t="shared" si="16"/>
        <v>0.11799999999999999</v>
      </c>
      <c r="J118" s="117"/>
      <c r="K118" s="117"/>
      <c r="L118" s="117"/>
      <c r="M118" s="117"/>
      <c r="N118" s="23"/>
      <c r="O118" s="23"/>
      <c r="P118" s="23"/>
    </row>
    <row r="119" spans="1:16" x14ac:dyDescent="0.25">
      <c r="A119" s="140">
        <f t="shared" si="15"/>
        <v>61</v>
      </c>
      <c r="C119" s="140" t="str">
        <f t="shared" si="17"/>
        <v>6-9</v>
      </c>
      <c r="D119" s="141">
        <f>COUNTIFS('DERNIER RESULTS'!I:I,LEFT('Resultat Journée'!C119,1),'DERNIER RESULTS'!J:J,RIGHT('Resultat Journée'!C119,1))</f>
        <v>0</v>
      </c>
      <c r="E119" s="141">
        <f t="shared" si="16"/>
        <v>0.11899999999999999</v>
      </c>
      <c r="J119" s="117"/>
      <c r="K119" s="117"/>
      <c r="L119" s="117"/>
      <c r="M119" s="117"/>
      <c r="N119" s="23"/>
      <c r="O119" s="23"/>
      <c r="P119" s="23"/>
    </row>
    <row r="120" spans="1:16" x14ac:dyDescent="0.25">
      <c r="A120" s="140">
        <f t="shared" si="15"/>
        <v>60</v>
      </c>
      <c r="C120" s="140" t="str">
        <f t="shared" si="17"/>
        <v>7-0</v>
      </c>
      <c r="D120" s="141">
        <f>COUNTIFS('DERNIER RESULTS'!I:I,LEFT('Resultat Journée'!C120,1),'DERNIER RESULTS'!J:J,RIGHT('Resultat Journée'!C120,1))</f>
        <v>0</v>
      </c>
      <c r="E120" s="141">
        <f t="shared" si="16"/>
        <v>0.12</v>
      </c>
      <c r="J120" s="117"/>
      <c r="K120" s="117"/>
      <c r="L120" s="117"/>
      <c r="M120" s="117"/>
      <c r="N120" s="23"/>
      <c r="O120" s="23"/>
      <c r="P120" s="23"/>
    </row>
    <row r="121" spans="1:16" x14ac:dyDescent="0.25">
      <c r="A121" s="140">
        <f t="shared" si="15"/>
        <v>59</v>
      </c>
      <c r="C121" s="140" t="str">
        <f t="shared" si="17"/>
        <v>7-1</v>
      </c>
      <c r="D121" s="141">
        <f>COUNTIFS('DERNIER RESULTS'!I:I,LEFT('Resultat Journée'!C121,1),'DERNIER RESULTS'!J:J,RIGHT('Resultat Journée'!C121,1))</f>
        <v>0</v>
      </c>
      <c r="E121" s="141">
        <f t="shared" si="16"/>
        <v>0.121</v>
      </c>
      <c r="J121" s="117"/>
      <c r="K121" s="117"/>
      <c r="L121" s="117"/>
      <c r="M121" s="117"/>
      <c r="N121" s="23"/>
      <c r="O121" s="23"/>
      <c r="P121" s="23"/>
    </row>
    <row r="122" spans="1:16" x14ac:dyDescent="0.25">
      <c r="A122" s="140">
        <f t="shared" si="15"/>
        <v>58</v>
      </c>
      <c r="C122" s="140" t="str">
        <f t="shared" si="17"/>
        <v>7-2</v>
      </c>
      <c r="D122" s="141">
        <f>COUNTIFS('DERNIER RESULTS'!I:I,LEFT('Resultat Journée'!C122,1),'DERNIER RESULTS'!J:J,RIGHT('Resultat Journée'!C122,1))</f>
        <v>0</v>
      </c>
      <c r="E122" s="141">
        <f t="shared" si="16"/>
        <v>0.122</v>
      </c>
      <c r="J122" s="117"/>
      <c r="K122" s="117"/>
      <c r="L122" s="117"/>
      <c r="M122" s="117"/>
      <c r="N122" s="23"/>
      <c r="O122" s="23"/>
      <c r="P122" s="23"/>
    </row>
    <row r="123" spans="1:16" x14ac:dyDescent="0.25">
      <c r="A123" s="140">
        <f t="shared" si="15"/>
        <v>57</v>
      </c>
      <c r="C123" s="140" t="str">
        <f t="shared" si="17"/>
        <v>7-3</v>
      </c>
      <c r="D123" s="141">
        <f>COUNTIFS('DERNIER RESULTS'!I:I,LEFT('Resultat Journée'!C123,1),'DERNIER RESULTS'!J:J,RIGHT('Resultat Journée'!C123,1))</f>
        <v>0</v>
      </c>
      <c r="E123" s="141">
        <f t="shared" si="16"/>
        <v>0.123</v>
      </c>
      <c r="J123" s="117"/>
      <c r="K123" s="117"/>
      <c r="L123" s="117"/>
      <c r="M123" s="117"/>
      <c r="N123" s="23"/>
      <c r="O123" s="23"/>
      <c r="P123" s="23"/>
    </row>
    <row r="124" spans="1:16" x14ac:dyDescent="0.25">
      <c r="A124" s="140">
        <f t="shared" si="15"/>
        <v>56</v>
      </c>
      <c r="C124" s="140" t="str">
        <f t="shared" si="17"/>
        <v>7-4</v>
      </c>
      <c r="D124" s="141">
        <f>COUNTIFS('DERNIER RESULTS'!I:I,LEFT('Resultat Journée'!C124,1),'DERNIER RESULTS'!J:J,RIGHT('Resultat Journée'!C124,1))</f>
        <v>0</v>
      </c>
      <c r="E124" s="141">
        <f t="shared" si="16"/>
        <v>0.124</v>
      </c>
      <c r="J124" s="117"/>
      <c r="K124" s="117"/>
      <c r="L124" s="117"/>
      <c r="M124" s="117"/>
      <c r="N124" s="23"/>
      <c r="O124" s="23"/>
      <c r="P124" s="23"/>
    </row>
    <row r="125" spans="1:16" x14ac:dyDescent="0.25">
      <c r="A125" s="140">
        <f t="shared" si="15"/>
        <v>55</v>
      </c>
      <c r="C125" s="140" t="str">
        <f t="shared" si="17"/>
        <v>7-5</v>
      </c>
      <c r="D125" s="141">
        <f>COUNTIFS('DERNIER RESULTS'!I:I,LEFT('Resultat Journée'!C125,1),'DERNIER RESULTS'!J:J,RIGHT('Resultat Journée'!C125,1))</f>
        <v>0</v>
      </c>
      <c r="E125" s="141">
        <f t="shared" si="16"/>
        <v>0.125</v>
      </c>
      <c r="J125" s="117"/>
      <c r="K125" s="117"/>
      <c r="L125" s="117"/>
      <c r="M125" s="117"/>
      <c r="N125" s="23"/>
      <c r="O125" s="23"/>
      <c r="P125" s="23"/>
    </row>
    <row r="126" spans="1:16" x14ac:dyDescent="0.25">
      <c r="A126" s="140">
        <f t="shared" si="15"/>
        <v>54</v>
      </c>
      <c r="C126" s="140" t="str">
        <f t="shared" si="17"/>
        <v>7-6</v>
      </c>
      <c r="D126" s="141">
        <f>COUNTIFS('DERNIER RESULTS'!I:I,LEFT('Resultat Journée'!C126,1),'DERNIER RESULTS'!J:J,RIGHT('Resultat Journée'!C126,1))</f>
        <v>0</v>
      </c>
      <c r="E126" s="141">
        <f t="shared" si="16"/>
        <v>0.126</v>
      </c>
      <c r="J126" s="117"/>
      <c r="K126" s="117"/>
      <c r="L126" s="117"/>
      <c r="M126" s="117"/>
      <c r="N126" s="23"/>
      <c r="O126" s="23"/>
      <c r="P126" s="23"/>
    </row>
    <row r="127" spans="1:16" x14ac:dyDescent="0.25">
      <c r="A127" s="140">
        <f t="shared" si="15"/>
        <v>53</v>
      </c>
      <c r="C127" s="140" t="str">
        <f t="shared" si="17"/>
        <v>7-7</v>
      </c>
      <c r="D127" s="141">
        <f>COUNTIFS('DERNIER RESULTS'!I:I,LEFT('Resultat Journée'!C127,1),'DERNIER RESULTS'!J:J,RIGHT('Resultat Journée'!C127,1))</f>
        <v>0</v>
      </c>
      <c r="E127" s="141">
        <f t="shared" si="16"/>
        <v>0.127</v>
      </c>
      <c r="J127" s="117"/>
      <c r="K127" s="117"/>
      <c r="L127" s="117"/>
      <c r="M127" s="117"/>
      <c r="N127" s="23"/>
      <c r="O127" s="23"/>
      <c r="P127" s="23"/>
    </row>
    <row r="128" spans="1:16" x14ac:dyDescent="0.25">
      <c r="A128" s="140">
        <f t="shared" si="15"/>
        <v>52</v>
      </c>
      <c r="C128" s="140" t="str">
        <f t="shared" si="17"/>
        <v>7-8</v>
      </c>
      <c r="D128" s="141">
        <f>COUNTIFS('DERNIER RESULTS'!I:I,LEFT('Resultat Journée'!C128,1),'DERNIER RESULTS'!J:J,RIGHT('Resultat Journée'!C128,1))</f>
        <v>0</v>
      </c>
      <c r="E128" s="141">
        <f t="shared" si="16"/>
        <v>0.128</v>
      </c>
      <c r="J128" s="117"/>
      <c r="K128" s="117"/>
      <c r="L128" s="117"/>
      <c r="M128" s="117"/>
      <c r="N128" s="23"/>
      <c r="O128" s="23"/>
      <c r="P128" s="23"/>
    </row>
    <row r="129" spans="1:16" x14ac:dyDescent="0.25">
      <c r="A129" s="140">
        <f t="shared" si="15"/>
        <v>51</v>
      </c>
      <c r="C129" s="140" t="str">
        <f t="shared" si="17"/>
        <v>7-9</v>
      </c>
      <c r="D129" s="141">
        <f>COUNTIFS('DERNIER RESULTS'!I:I,LEFT('Resultat Journée'!C129,1),'DERNIER RESULTS'!J:J,RIGHT('Resultat Journée'!C129,1))</f>
        <v>0</v>
      </c>
      <c r="E129" s="141">
        <f t="shared" si="16"/>
        <v>0.129</v>
      </c>
      <c r="J129" s="117"/>
      <c r="K129" s="117"/>
      <c r="L129" s="117"/>
      <c r="M129" s="117"/>
      <c r="N129" s="23"/>
      <c r="O129" s="23"/>
      <c r="P129" s="23"/>
    </row>
    <row r="130" spans="1:16" x14ac:dyDescent="0.25">
      <c r="A130" s="140">
        <f t="shared" si="15"/>
        <v>27</v>
      </c>
      <c r="C130" s="140" t="str">
        <f t="shared" si="17"/>
        <v>8-0</v>
      </c>
      <c r="D130" s="141">
        <f>COUNTIFS('DERNIER RESULTS'!I:I,LEFT('Resultat Journée'!C130,1),'DERNIER RESULTS'!J:J,RIGHT('Resultat Journée'!C130,1))</f>
        <v>1</v>
      </c>
      <c r="E130" s="141">
        <f t="shared" si="16"/>
        <v>1.1299999999999999</v>
      </c>
      <c r="J130" s="117"/>
      <c r="K130" s="117"/>
      <c r="L130" s="117"/>
      <c r="M130" s="117"/>
      <c r="N130" s="23"/>
      <c r="O130" s="23"/>
      <c r="P130" s="23"/>
    </row>
    <row r="131" spans="1:16" x14ac:dyDescent="0.25">
      <c r="A131" s="140">
        <f t="shared" si="15"/>
        <v>50</v>
      </c>
      <c r="C131" s="140" t="str">
        <f t="shared" si="17"/>
        <v>8-1</v>
      </c>
      <c r="D131" s="141">
        <f>COUNTIFS('DERNIER RESULTS'!I:I,LEFT('Resultat Journée'!C131,1),'DERNIER RESULTS'!J:J,RIGHT('Resultat Journée'!C131,1))</f>
        <v>0</v>
      </c>
      <c r="E131" s="141">
        <f t="shared" si="16"/>
        <v>0.13100000000000001</v>
      </c>
      <c r="J131" s="117"/>
      <c r="K131" s="117"/>
      <c r="L131" s="117"/>
      <c r="M131" s="117"/>
      <c r="N131" s="23"/>
      <c r="O131" s="23"/>
      <c r="P131" s="23"/>
    </row>
    <row r="132" spans="1:16" x14ac:dyDescent="0.25">
      <c r="A132" s="140">
        <f t="shared" si="15"/>
        <v>49</v>
      </c>
      <c r="C132" s="140" t="str">
        <f t="shared" si="17"/>
        <v>8-2</v>
      </c>
      <c r="D132" s="141">
        <f>COUNTIFS('DERNIER RESULTS'!I:I,LEFT('Resultat Journée'!C132,1),'DERNIER RESULTS'!J:J,RIGHT('Resultat Journée'!C132,1))</f>
        <v>0</v>
      </c>
      <c r="E132" s="141">
        <f t="shared" si="16"/>
        <v>0.13200000000000001</v>
      </c>
      <c r="J132" s="117"/>
      <c r="K132" s="117"/>
      <c r="L132" s="117"/>
      <c r="M132" s="117"/>
      <c r="N132" s="23"/>
      <c r="O132" s="23"/>
      <c r="P132" s="23"/>
    </row>
    <row r="133" spans="1:16" x14ac:dyDescent="0.25">
      <c r="A133" s="140">
        <f t="shared" si="15"/>
        <v>48</v>
      </c>
      <c r="C133" s="140" t="str">
        <f t="shared" si="17"/>
        <v>8-3</v>
      </c>
      <c r="D133" s="141">
        <f>COUNTIFS('DERNIER RESULTS'!I:I,LEFT('Resultat Journée'!C133,1),'DERNIER RESULTS'!J:J,RIGHT('Resultat Journée'!C133,1))</f>
        <v>0</v>
      </c>
      <c r="E133" s="141">
        <f t="shared" si="16"/>
        <v>0.13300000000000001</v>
      </c>
      <c r="J133" s="117"/>
      <c r="K133" s="117"/>
      <c r="L133" s="117"/>
      <c r="M133" s="117"/>
      <c r="N133" s="23"/>
      <c r="O133" s="23"/>
      <c r="P133" s="23"/>
    </row>
    <row r="134" spans="1:16" x14ac:dyDescent="0.25">
      <c r="A134" s="140">
        <f t="shared" si="15"/>
        <v>47</v>
      </c>
      <c r="C134" s="140" t="str">
        <f t="shared" si="17"/>
        <v>8-4</v>
      </c>
      <c r="D134" s="141">
        <f>COUNTIFS('DERNIER RESULTS'!I:I,LEFT('Resultat Journée'!C134,1),'DERNIER RESULTS'!J:J,RIGHT('Resultat Journée'!C134,1))</f>
        <v>0</v>
      </c>
      <c r="E134" s="141">
        <f t="shared" si="16"/>
        <v>0.13400000000000001</v>
      </c>
      <c r="J134" s="117"/>
      <c r="K134" s="117"/>
      <c r="L134" s="117"/>
      <c r="M134" s="117"/>
      <c r="N134" s="23"/>
      <c r="O134" s="23"/>
      <c r="P134" s="23"/>
    </row>
    <row r="135" spans="1:16" x14ac:dyDescent="0.25">
      <c r="A135" s="140">
        <f t="shared" si="15"/>
        <v>46</v>
      </c>
      <c r="C135" s="140" t="str">
        <f t="shared" si="17"/>
        <v>8-5</v>
      </c>
      <c r="D135" s="141">
        <f>COUNTIFS('DERNIER RESULTS'!I:I,LEFT('Resultat Journée'!C135,1),'DERNIER RESULTS'!J:J,RIGHT('Resultat Journée'!C135,1))</f>
        <v>0</v>
      </c>
      <c r="E135" s="141">
        <f t="shared" si="16"/>
        <v>0.13500000000000001</v>
      </c>
      <c r="J135" s="117"/>
      <c r="K135" s="117"/>
      <c r="L135" s="117"/>
      <c r="M135" s="117"/>
      <c r="N135" s="23"/>
      <c r="O135" s="23"/>
      <c r="P135" s="23"/>
    </row>
    <row r="136" spans="1:16" x14ac:dyDescent="0.25">
      <c r="A136" s="140">
        <f t="shared" si="15"/>
        <v>45</v>
      </c>
      <c r="C136" s="140" t="str">
        <f t="shared" si="17"/>
        <v>8-6</v>
      </c>
      <c r="D136" s="141">
        <f>COUNTIFS('DERNIER RESULTS'!I:I,LEFT('Resultat Journée'!C136,1),'DERNIER RESULTS'!J:J,RIGHT('Resultat Journée'!C136,1))</f>
        <v>0</v>
      </c>
      <c r="E136" s="141">
        <f t="shared" si="16"/>
        <v>0.13600000000000001</v>
      </c>
      <c r="J136" s="117"/>
      <c r="K136" s="117"/>
      <c r="L136" s="117"/>
      <c r="M136" s="117"/>
      <c r="N136" s="23"/>
      <c r="O136" s="23"/>
      <c r="P136" s="23"/>
    </row>
    <row r="137" spans="1:16" x14ac:dyDescent="0.25">
      <c r="A137" s="140">
        <f t="shared" si="15"/>
        <v>44</v>
      </c>
      <c r="C137" s="140" t="str">
        <f t="shared" si="17"/>
        <v>8-7</v>
      </c>
      <c r="D137" s="141">
        <f>COUNTIFS('DERNIER RESULTS'!I:I,LEFT('Resultat Journée'!C137,1),'DERNIER RESULTS'!J:J,RIGHT('Resultat Journée'!C137,1))</f>
        <v>0</v>
      </c>
      <c r="E137" s="141">
        <f t="shared" si="16"/>
        <v>0.13700000000000001</v>
      </c>
      <c r="J137" s="117"/>
      <c r="K137" s="117"/>
      <c r="L137" s="117"/>
      <c r="M137" s="117"/>
      <c r="N137" s="23"/>
      <c r="O137" s="23"/>
      <c r="P137" s="23"/>
    </row>
    <row r="138" spans="1:16" x14ac:dyDescent="0.25">
      <c r="A138" s="140">
        <f t="shared" si="15"/>
        <v>43</v>
      </c>
      <c r="C138" s="140" t="str">
        <f t="shared" si="17"/>
        <v>8-8</v>
      </c>
      <c r="D138" s="141">
        <f>COUNTIFS('DERNIER RESULTS'!I:I,LEFT('Resultat Journée'!C138,1),'DERNIER RESULTS'!J:J,RIGHT('Resultat Journée'!C138,1))</f>
        <v>0</v>
      </c>
      <c r="E138" s="141">
        <f t="shared" si="16"/>
        <v>0.13800000000000001</v>
      </c>
      <c r="J138" s="117"/>
      <c r="K138" s="117"/>
      <c r="L138" s="117"/>
      <c r="M138" s="117"/>
      <c r="N138" s="23"/>
      <c r="O138" s="23"/>
      <c r="P138" s="23"/>
    </row>
    <row r="139" spans="1:16" x14ac:dyDescent="0.25">
      <c r="A139" s="140">
        <f t="shared" si="15"/>
        <v>42</v>
      </c>
      <c r="C139" s="140" t="str">
        <f t="shared" si="17"/>
        <v>8-9</v>
      </c>
      <c r="D139" s="141">
        <f>COUNTIFS('DERNIER RESULTS'!I:I,LEFT('Resultat Journée'!C139,1),'DERNIER RESULTS'!J:J,RIGHT('Resultat Journée'!C139,1))</f>
        <v>0</v>
      </c>
      <c r="E139" s="141">
        <f t="shared" si="16"/>
        <v>0.13900000000000001</v>
      </c>
      <c r="J139" s="117"/>
      <c r="K139" s="117"/>
      <c r="L139" s="117"/>
      <c r="M139" s="117"/>
      <c r="N139" s="23"/>
      <c r="O139" s="23"/>
      <c r="P139" s="23"/>
    </row>
    <row r="140" spans="1:16" x14ac:dyDescent="0.25">
      <c r="A140" s="140">
        <f t="shared" si="15"/>
        <v>41</v>
      </c>
      <c r="C140" s="140" t="str">
        <f t="shared" si="17"/>
        <v>9-0</v>
      </c>
      <c r="D140" s="141">
        <f>COUNTIFS('DERNIER RESULTS'!I:I,LEFT('Resultat Journée'!C140,1),'DERNIER RESULTS'!J:J,RIGHT('Resultat Journée'!C140,1))</f>
        <v>0</v>
      </c>
      <c r="E140" s="141">
        <f t="shared" si="16"/>
        <v>0.14000000000000001</v>
      </c>
      <c r="J140" s="117"/>
      <c r="K140" s="117"/>
      <c r="L140" s="117"/>
      <c r="M140" s="117"/>
      <c r="N140" s="23"/>
      <c r="O140" s="23"/>
      <c r="P140" s="23"/>
    </row>
    <row r="141" spans="1:16" x14ac:dyDescent="0.25">
      <c r="A141" s="140">
        <f t="shared" si="15"/>
        <v>40</v>
      </c>
      <c r="C141" s="140" t="str">
        <f t="shared" si="17"/>
        <v>9-1</v>
      </c>
      <c r="D141" s="141">
        <f>COUNTIFS('DERNIER RESULTS'!I:I,LEFT('Resultat Journée'!C141,1),'DERNIER RESULTS'!J:J,RIGHT('Resultat Journée'!C141,1))</f>
        <v>0</v>
      </c>
      <c r="E141" s="141">
        <f t="shared" si="16"/>
        <v>0.14099999999999999</v>
      </c>
      <c r="J141" s="117"/>
      <c r="K141" s="117"/>
      <c r="L141" s="117"/>
      <c r="M141" s="117"/>
      <c r="N141" s="23"/>
      <c r="O141" s="23"/>
      <c r="P141" s="23"/>
    </row>
    <row r="142" spans="1:16" x14ac:dyDescent="0.25">
      <c r="A142" s="140">
        <f t="shared" si="15"/>
        <v>39</v>
      </c>
      <c r="C142" s="140" t="str">
        <f t="shared" si="17"/>
        <v>9-2</v>
      </c>
      <c r="D142" s="141">
        <f>COUNTIFS('DERNIER RESULTS'!I:I,LEFT('Resultat Journée'!C142,1),'DERNIER RESULTS'!J:J,RIGHT('Resultat Journée'!C142,1))</f>
        <v>0</v>
      </c>
      <c r="E142" s="141">
        <f t="shared" si="16"/>
        <v>0.14199999999999999</v>
      </c>
      <c r="J142" s="117"/>
      <c r="K142" s="117"/>
      <c r="L142" s="117"/>
      <c r="M142" s="117"/>
      <c r="N142" s="23"/>
      <c r="O142" s="23"/>
      <c r="P142" s="23"/>
    </row>
    <row r="143" spans="1:16" x14ac:dyDescent="0.25">
      <c r="A143" s="140">
        <f t="shared" si="15"/>
        <v>38</v>
      </c>
      <c r="C143" s="140" t="str">
        <f t="shared" si="17"/>
        <v>9-3</v>
      </c>
      <c r="D143" s="141">
        <f>COUNTIFS('DERNIER RESULTS'!I:I,LEFT('Resultat Journée'!C143,1),'DERNIER RESULTS'!J:J,RIGHT('Resultat Journée'!C143,1))</f>
        <v>0</v>
      </c>
      <c r="E143" s="141">
        <f t="shared" si="16"/>
        <v>0.14299999999999999</v>
      </c>
      <c r="J143" s="117"/>
      <c r="K143" s="117"/>
      <c r="L143" s="117"/>
      <c r="M143" s="117"/>
      <c r="N143" s="23"/>
      <c r="O143" s="23"/>
      <c r="P143" s="23"/>
    </row>
    <row r="144" spans="1:16" x14ac:dyDescent="0.25">
      <c r="A144" s="140">
        <f t="shared" si="15"/>
        <v>37</v>
      </c>
      <c r="C144" s="140" t="str">
        <f t="shared" si="17"/>
        <v>9-4</v>
      </c>
      <c r="D144" s="141">
        <f>COUNTIFS('DERNIER RESULTS'!I:I,LEFT('Resultat Journée'!C144,1),'DERNIER RESULTS'!J:J,RIGHT('Resultat Journée'!C144,1))</f>
        <v>0</v>
      </c>
      <c r="E144" s="141">
        <f t="shared" si="16"/>
        <v>0.14399999999999999</v>
      </c>
      <c r="J144" s="117"/>
      <c r="K144" s="117"/>
      <c r="L144" s="117"/>
      <c r="M144" s="117"/>
      <c r="N144" s="23"/>
      <c r="O144" s="23"/>
      <c r="P144" s="23"/>
    </row>
    <row r="145" spans="1:16" x14ac:dyDescent="0.25">
      <c r="A145" s="140">
        <f t="shared" si="15"/>
        <v>36</v>
      </c>
      <c r="C145" s="140" t="str">
        <f t="shared" si="17"/>
        <v>9-5</v>
      </c>
      <c r="D145" s="141">
        <f>COUNTIFS('DERNIER RESULTS'!I:I,LEFT('Resultat Journée'!C145,1),'DERNIER RESULTS'!J:J,RIGHT('Resultat Journée'!C145,1))</f>
        <v>0</v>
      </c>
      <c r="E145" s="141">
        <f t="shared" si="16"/>
        <v>0.14499999999999999</v>
      </c>
      <c r="J145" s="117"/>
      <c r="K145" s="117"/>
      <c r="L145" s="117"/>
      <c r="M145" s="117"/>
      <c r="N145" s="23"/>
      <c r="O145" s="23"/>
      <c r="P145" s="23"/>
    </row>
    <row r="146" spans="1:16" x14ac:dyDescent="0.25">
      <c r="A146" s="140">
        <f t="shared" si="15"/>
        <v>35</v>
      </c>
      <c r="C146" s="140" t="str">
        <f t="shared" si="17"/>
        <v>9-6</v>
      </c>
      <c r="D146" s="141">
        <f>COUNTIFS('DERNIER RESULTS'!I:I,LEFT('Resultat Journée'!C146,1),'DERNIER RESULTS'!J:J,RIGHT('Resultat Journée'!C146,1))</f>
        <v>0</v>
      </c>
      <c r="E146" s="141">
        <f t="shared" si="16"/>
        <v>0.14599999999999999</v>
      </c>
      <c r="J146" s="117"/>
      <c r="K146" s="117"/>
      <c r="L146" s="117"/>
      <c r="M146" s="117"/>
      <c r="N146" s="23"/>
      <c r="O146" s="23"/>
      <c r="P146" s="23"/>
    </row>
    <row r="147" spans="1:16" x14ac:dyDescent="0.25">
      <c r="A147" s="140">
        <f t="shared" si="15"/>
        <v>34</v>
      </c>
      <c r="C147" s="140" t="str">
        <f t="shared" si="17"/>
        <v>9-7</v>
      </c>
      <c r="D147" s="141">
        <f>COUNTIFS('DERNIER RESULTS'!I:I,LEFT('Resultat Journée'!C147,1),'DERNIER RESULTS'!J:J,RIGHT('Resultat Journée'!C147,1))</f>
        <v>0</v>
      </c>
      <c r="E147" s="141">
        <f t="shared" si="16"/>
        <v>0.14699999999999999</v>
      </c>
      <c r="J147" s="117"/>
      <c r="K147" s="117"/>
      <c r="L147" s="117"/>
      <c r="M147" s="117"/>
      <c r="N147" s="23"/>
      <c r="O147" s="23"/>
      <c r="P147" s="23"/>
    </row>
    <row r="148" spans="1:16" x14ac:dyDescent="0.25">
      <c r="A148" s="140">
        <f t="shared" si="15"/>
        <v>33</v>
      </c>
      <c r="C148" s="140" t="str">
        <f t="shared" si="17"/>
        <v>9-8</v>
      </c>
      <c r="D148" s="141">
        <f>COUNTIFS('DERNIER RESULTS'!I:I,LEFT('Resultat Journée'!C148,1),'DERNIER RESULTS'!J:J,RIGHT('Resultat Journée'!C148,1))</f>
        <v>0</v>
      </c>
      <c r="E148" s="141">
        <f t="shared" si="16"/>
        <v>0.14799999999999999</v>
      </c>
      <c r="J148" s="117"/>
      <c r="K148" s="117"/>
      <c r="L148" s="117"/>
      <c r="M148" s="117"/>
      <c r="N148" s="23"/>
      <c r="O148" s="23"/>
      <c r="P148" s="23"/>
    </row>
    <row r="149" spans="1:16" x14ac:dyDescent="0.25">
      <c r="A149" s="140">
        <f t="shared" si="15"/>
        <v>32</v>
      </c>
      <c r="C149" s="140" t="str">
        <f t="shared" si="17"/>
        <v>9-9</v>
      </c>
      <c r="D149" s="141">
        <f>COUNTIFS('DERNIER RESULTS'!I:I,LEFT('Resultat Journée'!C149,1),'DERNIER RESULTS'!J:J,RIGHT('Resultat Journée'!C149,1))</f>
        <v>0</v>
      </c>
      <c r="E149" s="141">
        <f t="shared" si="16"/>
        <v>0.14899999999999999</v>
      </c>
      <c r="J149" s="117"/>
      <c r="K149" s="117"/>
      <c r="L149" s="117"/>
      <c r="M149" s="117"/>
      <c r="N149" s="23"/>
      <c r="O149" s="23"/>
      <c r="P149" s="23"/>
    </row>
    <row r="150" spans="1:16" x14ac:dyDescent="0.25">
      <c r="C150" s="140"/>
      <c r="J150" s="117"/>
      <c r="K150" s="117"/>
      <c r="L150" s="117"/>
      <c r="M150" s="117"/>
      <c r="N150" s="23"/>
      <c r="O150" s="23"/>
      <c r="P150" s="23"/>
    </row>
    <row r="151" spans="1:16" x14ac:dyDescent="0.25">
      <c r="C151" s="140"/>
      <c r="J151" s="117"/>
      <c r="K151" s="117"/>
      <c r="L151" s="117"/>
      <c r="M151" s="117"/>
      <c r="N151" s="23"/>
      <c r="O151" s="23"/>
      <c r="P151" s="23"/>
    </row>
    <row r="152" spans="1:16" x14ac:dyDescent="0.25">
      <c r="C152" s="140"/>
      <c r="J152" s="117"/>
      <c r="K152" s="117"/>
      <c r="L152" s="117"/>
      <c r="M152" s="117"/>
      <c r="N152" s="23"/>
      <c r="O152" s="23"/>
      <c r="P152" s="23"/>
    </row>
    <row r="153" spans="1:16" x14ac:dyDescent="0.25">
      <c r="C153" s="140"/>
      <c r="J153" s="117"/>
      <c r="K153" s="117"/>
      <c r="L153" s="117"/>
      <c r="M153" s="117"/>
      <c r="N153" s="23"/>
      <c r="O153" s="23"/>
      <c r="P153" s="23"/>
    </row>
    <row r="154" spans="1:16" x14ac:dyDescent="0.25">
      <c r="C154" s="140"/>
      <c r="J154" s="117"/>
      <c r="K154" s="117"/>
      <c r="L154" s="117"/>
      <c r="M154" s="117"/>
      <c r="N154" s="23"/>
      <c r="O154" s="23"/>
      <c r="P154" s="23"/>
    </row>
    <row r="155" spans="1:16" x14ac:dyDescent="0.25">
      <c r="C155" s="140"/>
      <c r="J155" s="117"/>
      <c r="K155" s="117"/>
      <c r="L155" s="117"/>
      <c r="M155" s="117"/>
      <c r="N155" s="23"/>
      <c r="O155" s="23"/>
      <c r="P155" s="23"/>
    </row>
    <row r="156" spans="1:16" x14ac:dyDescent="0.25">
      <c r="C156" s="140"/>
      <c r="J156" s="117"/>
      <c r="K156" s="117"/>
      <c r="L156" s="117"/>
      <c r="M156" s="117"/>
      <c r="N156" s="23"/>
      <c r="O156" s="23"/>
      <c r="P156" s="23"/>
    </row>
    <row r="157" spans="1:16" x14ac:dyDescent="0.25">
      <c r="C157" s="140"/>
      <c r="J157" s="117"/>
      <c r="K157" s="117"/>
      <c r="L157" s="117"/>
      <c r="M157" s="117"/>
      <c r="N157" s="23"/>
      <c r="O157" s="23"/>
      <c r="P157" s="23"/>
    </row>
    <row r="158" spans="1:16" x14ac:dyDescent="0.25">
      <c r="C158" s="140"/>
      <c r="J158" s="117"/>
      <c r="K158" s="117"/>
      <c r="L158" s="117"/>
      <c r="M158" s="117"/>
      <c r="N158" s="23"/>
      <c r="O158" s="23"/>
      <c r="P158" s="23"/>
    </row>
    <row r="159" spans="1:16" x14ac:dyDescent="0.25">
      <c r="C159" s="140"/>
      <c r="J159" s="117"/>
      <c r="K159" s="117"/>
      <c r="L159" s="117"/>
      <c r="M159" s="117"/>
      <c r="N159" s="23"/>
      <c r="O159" s="23"/>
      <c r="P159" s="23"/>
    </row>
    <row r="160" spans="1:16" x14ac:dyDescent="0.25">
      <c r="C160" s="140"/>
      <c r="J160" s="117"/>
      <c r="K160" s="117"/>
      <c r="L160" s="117"/>
      <c r="M160" s="117"/>
      <c r="N160" s="23"/>
      <c r="O160" s="23"/>
      <c r="P160" s="23"/>
    </row>
    <row r="161" spans="3:16" x14ac:dyDescent="0.25">
      <c r="C161" s="140"/>
      <c r="J161" s="117"/>
      <c r="K161" s="117"/>
      <c r="L161" s="117"/>
      <c r="M161" s="117"/>
      <c r="N161" s="23"/>
      <c r="O161" s="23"/>
      <c r="P161" s="23"/>
    </row>
    <row r="162" spans="3:16" x14ac:dyDescent="0.25">
      <c r="C162" s="140"/>
      <c r="J162" s="117"/>
      <c r="K162" s="117"/>
      <c r="L162" s="117"/>
      <c r="M162" s="117"/>
      <c r="N162" s="23"/>
      <c r="O162" s="23"/>
      <c r="P162" s="23"/>
    </row>
    <row r="163" spans="3:16" x14ac:dyDescent="0.25">
      <c r="C163" s="140"/>
      <c r="J163" s="117"/>
      <c r="K163" s="117"/>
      <c r="L163" s="117"/>
      <c r="M163" s="117"/>
      <c r="N163" s="23"/>
      <c r="O163" s="23"/>
      <c r="P163" s="23"/>
    </row>
    <row r="164" spans="3:16" x14ac:dyDescent="0.25">
      <c r="C164" s="140"/>
      <c r="J164" s="117"/>
      <c r="K164" s="117"/>
      <c r="L164" s="117"/>
      <c r="M164" s="117"/>
      <c r="N164" s="23"/>
      <c r="O164" s="23"/>
      <c r="P164" s="23"/>
    </row>
    <row r="165" spans="3:16" x14ac:dyDescent="0.25">
      <c r="C165" s="140"/>
      <c r="J165" s="117"/>
      <c r="K165" s="117"/>
      <c r="L165" s="117"/>
      <c r="M165" s="117"/>
      <c r="N165" s="23"/>
      <c r="O165" s="23"/>
      <c r="P165" s="23"/>
    </row>
    <row r="166" spans="3:16" x14ac:dyDescent="0.25">
      <c r="C166" s="140"/>
      <c r="J166" s="117"/>
      <c r="K166" s="117"/>
      <c r="L166" s="117"/>
      <c r="M166" s="117"/>
      <c r="N166" s="23"/>
      <c r="O166" s="23"/>
      <c r="P166" s="23"/>
    </row>
    <row r="167" spans="3:16" x14ac:dyDescent="0.25">
      <c r="C167" s="140"/>
      <c r="J167" s="117"/>
      <c r="K167" s="117"/>
      <c r="L167" s="117"/>
      <c r="M167" s="117"/>
      <c r="N167" s="23"/>
      <c r="O167" s="23"/>
      <c r="P167" s="23"/>
    </row>
    <row r="168" spans="3:16" x14ac:dyDescent="0.25">
      <c r="C168" s="140"/>
      <c r="J168" s="117"/>
      <c r="K168" s="117"/>
      <c r="L168" s="117"/>
      <c r="M168" s="117"/>
      <c r="N168" s="23"/>
      <c r="O168" s="23"/>
      <c r="P168" s="23"/>
    </row>
    <row r="169" spans="3:16" x14ac:dyDescent="0.25">
      <c r="C169" s="140"/>
      <c r="J169" s="117"/>
      <c r="K169" s="117"/>
      <c r="L169" s="117"/>
      <c r="M169" s="117"/>
      <c r="N169" s="23"/>
      <c r="O169" s="23"/>
      <c r="P169" s="23"/>
    </row>
    <row r="170" spans="3:16" x14ac:dyDescent="0.25">
      <c r="C170" s="140"/>
      <c r="J170" s="117"/>
      <c r="K170" s="117"/>
      <c r="L170" s="117"/>
      <c r="M170" s="117"/>
      <c r="N170" s="23"/>
      <c r="O170" s="23"/>
      <c r="P170" s="23"/>
    </row>
    <row r="171" spans="3:16" x14ac:dyDescent="0.25">
      <c r="C171" s="140"/>
      <c r="J171" s="117"/>
      <c r="K171" s="117"/>
      <c r="L171" s="117"/>
      <c r="M171" s="117"/>
      <c r="N171" s="23"/>
      <c r="O171" s="23"/>
      <c r="P171" s="23"/>
    </row>
    <row r="172" spans="3:16" x14ac:dyDescent="0.25">
      <c r="C172" s="140"/>
      <c r="J172" s="117"/>
      <c r="K172" s="117"/>
      <c r="L172" s="117"/>
      <c r="M172" s="117"/>
      <c r="N172" s="23"/>
      <c r="O172" s="23"/>
      <c r="P172" s="23"/>
    </row>
    <row r="173" spans="3:16" x14ac:dyDescent="0.25">
      <c r="C173" s="140"/>
      <c r="J173" s="117"/>
      <c r="K173" s="117"/>
      <c r="L173" s="117"/>
      <c r="M173" s="117"/>
      <c r="N173" s="23"/>
      <c r="O173" s="23"/>
      <c r="P173" s="23"/>
    </row>
    <row r="174" spans="3:16" x14ac:dyDescent="0.25">
      <c r="C174" s="140"/>
      <c r="J174" s="117"/>
      <c r="K174" s="117"/>
      <c r="L174" s="117"/>
      <c r="M174" s="117"/>
      <c r="N174" s="23"/>
      <c r="O174" s="23"/>
      <c r="P174" s="23"/>
    </row>
    <row r="175" spans="3:16" x14ac:dyDescent="0.25">
      <c r="C175" s="140"/>
      <c r="J175" s="117"/>
      <c r="K175" s="117"/>
      <c r="L175" s="117"/>
      <c r="M175" s="117"/>
      <c r="N175" s="23"/>
      <c r="O175" s="23"/>
      <c r="P175" s="23"/>
    </row>
    <row r="176" spans="3:16" x14ac:dyDescent="0.25">
      <c r="C176" s="140"/>
      <c r="J176" s="117"/>
      <c r="K176" s="117"/>
      <c r="L176" s="117"/>
      <c r="M176" s="117"/>
      <c r="N176" s="23"/>
      <c r="O176" s="23"/>
      <c r="P176" s="23"/>
    </row>
    <row r="177" spans="3:16" x14ac:dyDescent="0.25">
      <c r="C177" s="140"/>
      <c r="J177" s="117"/>
      <c r="K177" s="117"/>
      <c r="L177" s="117"/>
      <c r="M177" s="117"/>
      <c r="N177" s="23"/>
      <c r="O177" s="23"/>
      <c r="P177" s="23"/>
    </row>
    <row r="178" spans="3:16" x14ac:dyDescent="0.25">
      <c r="C178" s="140"/>
      <c r="J178" s="117"/>
      <c r="K178" s="117"/>
      <c r="L178" s="117"/>
      <c r="M178" s="117"/>
      <c r="N178" s="23"/>
      <c r="O178" s="23"/>
      <c r="P178" s="23"/>
    </row>
    <row r="179" spans="3:16" x14ac:dyDescent="0.25">
      <c r="C179" s="140"/>
      <c r="J179" s="117"/>
      <c r="K179" s="117"/>
      <c r="L179" s="117"/>
      <c r="M179" s="117"/>
      <c r="N179" s="23"/>
      <c r="O179" s="23"/>
      <c r="P179" s="23"/>
    </row>
    <row r="180" spans="3:16" x14ac:dyDescent="0.25">
      <c r="C180" s="140"/>
      <c r="J180" s="117"/>
      <c r="K180" s="117"/>
      <c r="L180" s="117"/>
      <c r="M180" s="117"/>
      <c r="N180" s="23"/>
      <c r="O180" s="23"/>
      <c r="P180" s="23"/>
    </row>
    <row r="181" spans="3:16" x14ac:dyDescent="0.25">
      <c r="C181" s="140"/>
      <c r="J181" s="117"/>
      <c r="K181" s="117"/>
      <c r="L181" s="117"/>
      <c r="M181" s="117"/>
      <c r="N181" s="23"/>
      <c r="O181" s="23"/>
      <c r="P181" s="23"/>
    </row>
    <row r="182" spans="3:16" x14ac:dyDescent="0.25">
      <c r="C182" s="140"/>
      <c r="J182" s="117"/>
      <c r="K182" s="117"/>
      <c r="L182" s="117"/>
      <c r="M182" s="117"/>
      <c r="N182" s="23"/>
      <c r="O182" s="23"/>
      <c r="P182" s="23"/>
    </row>
    <row r="183" spans="3:16" x14ac:dyDescent="0.25">
      <c r="C183" s="140"/>
      <c r="J183" s="117"/>
      <c r="K183" s="117"/>
      <c r="L183" s="117"/>
      <c r="M183" s="117"/>
      <c r="N183" s="23"/>
      <c r="O183" s="23"/>
      <c r="P183" s="23"/>
    </row>
    <row r="184" spans="3:16" x14ac:dyDescent="0.25">
      <c r="C184" s="140"/>
      <c r="J184" s="117"/>
      <c r="K184" s="117"/>
      <c r="L184" s="117"/>
      <c r="M184" s="117"/>
      <c r="N184" s="23"/>
      <c r="O184" s="23"/>
      <c r="P184" s="23"/>
    </row>
    <row r="185" spans="3:16" x14ac:dyDescent="0.25">
      <c r="C185" s="140"/>
      <c r="J185" s="117"/>
      <c r="K185" s="117"/>
      <c r="L185" s="117"/>
      <c r="M185" s="117"/>
      <c r="N185" s="23"/>
      <c r="O185" s="23"/>
      <c r="P185" s="23"/>
    </row>
    <row r="186" spans="3:16" x14ac:dyDescent="0.25">
      <c r="C186" s="140"/>
      <c r="J186" s="117"/>
      <c r="K186" s="117"/>
      <c r="L186" s="117"/>
      <c r="M186" s="117"/>
      <c r="N186" s="23"/>
      <c r="O186" s="23"/>
      <c r="P186" s="23"/>
    </row>
    <row r="187" spans="3:16" x14ac:dyDescent="0.25">
      <c r="C187" s="140"/>
      <c r="J187" s="117"/>
      <c r="K187" s="117"/>
      <c r="L187" s="117"/>
      <c r="M187" s="117"/>
      <c r="N187" s="23"/>
      <c r="O187" s="23"/>
      <c r="P187" s="23"/>
    </row>
    <row r="188" spans="3:16" x14ac:dyDescent="0.25">
      <c r="C188" s="140"/>
      <c r="J188" s="117"/>
      <c r="K188" s="117"/>
      <c r="L188" s="117"/>
      <c r="M188" s="117"/>
      <c r="N188" s="23"/>
      <c r="O188" s="23"/>
      <c r="P188" s="23"/>
    </row>
    <row r="189" spans="3:16" x14ac:dyDescent="0.25">
      <c r="C189" s="140"/>
      <c r="J189" s="117"/>
      <c r="K189" s="117"/>
      <c r="L189" s="117"/>
      <c r="M189" s="117"/>
      <c r="N189" s="23"/>
      <c r="O189" s="23"/>
      <c r="P189" s="23"/>
    </row>
    <row r="190" spans="3:16" x14ac:dyDescent="0.25">
      <c r="C190" s="140"/>
      <c r="J190" s="117"/>
      <c r="K190" s="117"/>
      <c r="L190" s="117"/>
      <c r="M190" s="117"/>
      <c r="N190" s="23"/>
      <c r="O190" s="23"/>
      <c r="P190" s="23"/>
    </row>
    <row r="191" spans="3:16" x14ac:dyDescent="0.25">
      <c r="C191" s="140"/>
      <c r="J191" s="117"/>
      <c r="K191" s="117"/>
      <c r="L191" s="117"/>
      <c r="M191" s="117"/>
      <c r="N191" s="23"/>
      <c r="O191" s="23"/>
      <c r="P191" s="23"/>
    </row>
    <row r="192" spans="3:16" x14ac:dyDescent="0.25">
      <c r="C192" s="140"/>
      <c r="J192" s="117"/>
      <c r="K192" s="117"/>
      <c r="L192" s="117"/>
      <c r="M192" s="117"/>
      <c r="N192" s="23"/>
      <c r="O192" s="23"/>
      <c r="P192" s="23"/>
    </row>
    <row r="193" spans="3:16" x14ac:dyDescent="0.25">
      <c r="C193" s="140"/>
      <c r="J193" s="117"/>
      <c r="K193" s="117"/>
      <c r="L193" s="117"/>
      <c r="M193" s="117"/>
      <c r="N193" s="23"/>
      <c r="O193" s="23"/>
      <c r="P193" s="23"/>
    </row>
    <row r="194" spans="3:16" x14ac:dyDescent="0.25">
      <c r="C194" s="140"/>
      <c r="J194" s="117"/>
      <c r="K194" s="117"/>
      <c r="L194" s="117"/>
      <c r="M194" s="117"/>
      <c r="N194" s="23"/>
      <c r="O194" s="23"/>
      <c r="P194" s="23"/>
    </row>
    <row r="195" spans="3:16" x14ac:dyDescent="0.25">
      <c r="C195" s="140"/>
      <c r="J195" s="117"/>
      <c r="K195" s="117"/>
      <c r="L195" s="117"/>
      <c r="M195" s="117"/>
      <c r="N195" s="23"/>
      <c r="O195" s="23"/>
      <c r="P195" s="23"/>
    </row>
    <row r="196" spans="3:16" x14ac:dyDescent="0.25">
      <c r="C196" s="140"/>
      <c r="J196" s="117"/>
      <c r="K196" s="117"/>
      <c r="L196" s="117"/>
      <c r="M196" s="117"/>
      <c r="N196" s="23"/>
      <c r="O196" s="23"/>
      <c r="P196" s="23"/>
    </row>
    <row r="197" spans="3:16" x14ac:dyDescent="0.25">
      <c r="C197" s="140"/>
      <c r="J197" s="117"/>
      <c r="K197" s="117"/>
      <c r="L197" s="117"/>
      <c r="M197" s="117"/>
      <c r="N197" s="23"/>
      <c r="O197" s="23"/>
      <c r="P197" s="23"/>
    </row>
    <row r="198" spans="3:16" x14ac:dyDescent="0.25">
      <c r="C198" s="140"/>
      <c r="J198" s="117"/>
      <c r="K198" s="117"/>
      <c r="L198" s="117"/>
      <c r="M198" s="117"/>
      <c r="N198" s="23"/>
      <c r="O198" s="23"/>
      <c r="P198" s="23"/>
    </row>
    <row r="199" spans="3:16" x14ac:dyDescent="0.25">
      <c r="C199" s="140"/>
      <c r="J199" s="117"/>
      <c r="K199" s="117"/>
      <c r="L199" s="117"/>
      <c r="M199" s="117"/>
      <c r="N199" s="23"/>
      <c r="O199" s="23"/>
      <c r="P199" s="23"/>
    </row>
    <row r="200" spans="3:16" x14ac:dyDescent="0.25">
      <c r="C200" s="140"/>
      <c r="J200" s="117"/>
      <c r="K200" s="117"/>
      <c r="L200" s="117"/>
      <c r="M200" s="117"/>
      <c r="N200" s="23"/>
      <c r="O200" s="23"/>
      <c r="P200" s="23"/>
    </row>
    <row r="201" spans="3:16" x14ac:dyDescent="0.25">
      <c r="C201" s="140"/>
      <c r="J201" s="117"/>
      <c r="K201" s="117"/>
      <c r="L201" s="117"/>
      <c r="M201" s="117"/>
      <c r="N201" s="23"/>
      <c r="O201" s="23"/>
      <c r="P201" s="23"/>
    </row>
    <row r="202" spans="3:16" x14ac:dyDescent="0.25">
      <c r="C202" s="140"/>
      <c r="J202" s="117"/>
      <c r="K202" s="117"/>
      <c r="L202" s="117"/>
      <c r="M202" s="117"/>
      <c r="N202" s="23"/>
      <c r="O202" s="23"/>
      <c r="P202" s="23"/>
    </row>
    <row r="203" spans="3:16" x14ac:dyDescent="0.25">
      <c r="C203" s="140"/>
      <c r="J203" s="117"/>
      <c r="K203" s="117"/>
      <c r="L203" s="117"/>
      <c r="M203" s="117"/>
      <c r="N203" s="23"/>
      <c r="O203" s="23"/>
      <c r="P203" s="23"/>
    </row>
    <row r="204" spans="3:16" x14ac:dyDescent="0.25">
      <c r="C204" s="140"/>
      <c r="J204" s="117"/>
      <c r="K204" s="117"/>
      <c r="L204" s="117"/>
      <c r="M204" s="117"/>
      <c r="N204" s="23"/>
      <c r="O204" s="23"/>
      <c r="P204" s="23"/>
    </row>
    <row r="205" spans="3:16" x14ac:dyDescent="0.25">
      <c r="C205" s="140"/>
      <c r="J205" s="117"/>
      <c r="K205" s="117"/>
      <c r="L205" s="117"/>
      <c r="M205" s="117"/>
      <c r="N205" s="23"/>
      <c r="O205" s="23"/>
      <c r="P205" s="23"/>
    </row>
    <row r="206" spans="3:16" x14ac:dyDescent="0.25">
      <c r="C206" s="140"/>
      <c r="J206" s="117"/>
      <c r="K206" s="117"/>
      <c r="L206" s="117"/>
      <c r="M206" s="117"/>
      <c r="N206" s="23"/>
      <c r="O206" s="23"/>
      <c r="P206" s="23"/>
    </row>
    <row r="207" spans="3:16" x14ac:dyDescent="0.25">
      <c r="C207" s="140"/>
      <c r="J207" s="117"/>
      <c r="K207" s="117"/>
      <c r="L207" s="117"/>
      <c r="M207" s="117"/>
      <c r="N207" s="23"/>
      <c r="O207" s="23"/>
      <c r="P207" s="23"/>
    </row>
    <row r="208" spans="3:16" x14ac:dyDescent="0.25">
      <c r="C208" s="140"/>
      <c r="J208" s="117"/>
      <c r="K208" s="117"/>
      <c r="L208" s="117"/>
      <c r="M208" s="117"/>
      <c r="N208" s="23"/>
      <c r="O208" s="23"/>
      <c r="P208" s="23"/>
    </row>
    <row r="209" spans="3:16" x14ac:dyDescent="0.25">
      <c r="C209" s="140"/>
      <c r="J209" s="117"/>
      <c r="K209" s="117"/>
      <c r="L209" s="117"/>
      <c r="M209" s="117"/>
      <c r="N209" s="23"/>
      <c r="O209" s="23"/>
      <c r="P209" s="23"/>
    </row>
    <row r="210" spans="3:16" x14ac:dyDescent="0.25">
      <c r="C210" s="140"/>
      <c r="J210" s="117"/>
      <c r="K210" s="117"/>
      <c r="L210" s="117"/>
      <c r="M210" s="117"/>
      <c r="N210" s="23"/>
      <c r="O210" s="23"/>
      <c r="P210" s="23"/>
    </row>
    <row r="211" spans="3:16" x14ac:dyDescent="0.25">
      <c r="C211" s="140"/>
      <c r="J211" s="117"/>
      <c r="K211" s="117"/>
      <c r="L211" s="117"/>
      <c r="M211" s="117"/>
      <c r="N211" s="23"/>
      <c r="O211" s="23"/>
      <c r="P211" s="23"/>
    </row>
    <row r="212" spans="3:16" x14ac:dyDescent="0.25">
      <c r="C212" s="140"/>
      <c r="J212" s="117"/>
      <c r="K212" s="117"/>
      <c r="L212" s="117"/>
      <c r="M212" s="117"/>
      <c r="N212" s="23"/>
      <c r="O212" s="23"/>
      <c r="P212" s="23"/>
    </row>
    <row r="213" spans="3:16" x14ac:dyDescent="0.25">
      <c r="C213" s="140"/>
      <c r="J213" s="117"/>
      <c r="K213" s="117"/>
      <c r="L213" s="117"/>
      <c r="M213" s="117"/>
      <c r="N213" s="23"/>
      <c r="O213" s="23"/>
      <c r="P213" s="23"/>
    </row>
    <row r="214" spans="3:16" x14ac:dyDescent="0.25">
      <c r="C214" s="140"/>
      <c r="J214" s="117"/>
      <c r="K214" s="117"/>
      <c r="L214" s="117"/>
      <c r="M214" s="117"/>
      <c r="N214" s="23"/>
      <c r="O214" s="23"/>
      <c r="P214" s="23"/>
    </row>
    <row r="215" spans="3:16" x14ac:dyDescent="0.25">
      <c r="C215" s="140"/>
      <c r="J215" s="117"/>
      <c r="K215" s="117"/>
      <c r="L215" s="117"/>
      <c r="M215" s="117"/>
      <c r="N215" s="23"/>
      <c r="O215" s="23"/>
      <c r="P215" s="23"/>
    </row>
    <row r="216" spans="3:16" x14ac:dyDescent="0.25">
      <c r="C216" s="140"/>
      <c r="J216" s="117"/>
      <c r="K216" s="117"/>
      <c r="L216" s="117"/>
      <c r="M216" s="117"/>
      <c r="N216" s="23"/>
      <c r="O216" s="23"/>
      <c r="P216" s="23"/>
    </row>
    <row r="217" spans="3:16" x14ac:dyDescent="0.25">
      <c r="C217" s="140"/>
      <c r="J217" s="117"/>
      <c r="K217" s="117"/>
      <c r="L217" s="117"/>
      <c r="M217" s="117"/>
      <c r="N217" s="23"/>
      <c r="O217" s="23"/>
      <c r="P217" s="23"/>
    </row>
    <row r="218" spans="3:16" x14ac:dyDescent="0.25">
      <c r="C218" s="140"/>
      <c r="J218" s="117"/>
      <c r="K218" s="117"/>
      <c r="L218" s="117"/>
      <c r="M218" s="117"/>
      <c r="N218" s="23"/>
      <c r="O218" s="23"/>
      <c r="P218" s="23"/>
    </row>
    <row r="219" spans="3:16" x14ac:dyDescent="0.25">
      <c r="J219" s="117"/>
      <c r="K219" s="117"/>
      <c r="L219" s="117"/>
      <c r="M219" s="117"/>
      <c r="N219" s="23"/>
      <c r="O219" s="23"/>
      <c r="P219" s="23"/>
    </row>
    <row r="220" spans="3:16" x14ac:dyDescent="0.25">
      <c r="J220" s="117"/>
      <c r="K220" s="117"/>
      <c r="L220" s="117"/>
      <c r="M220" s="117"/>
      <c r="N220" s="23"/>
      <c r="O220" s="23"/>
      <c r="P220" s="23"/>
    </row>
    <row r="221" spans="3:16" x14ac:dyDescent="0.25">
      <c r="J221" s="117"/>
      <c r="K221" s="117"/>
      <c r="L221" s="117"/>
      <c r="M221" s="117"/>
      <c r="N221" s="23"/>
      <c r="O221" s="23"/>
      <c r="P221" s="23"/>
    </row>
    <row r="222" spans="3:16" x14ac:dyDescent="0.25">
      <c r="J222" s="117"/>
      <c r="K222" s="117"/>
      <c r="L222" s="117"/>
      <c r="M222" s="117"/>
      <c r="N222" s="23"/>
      <c r="O222" s="23"/>
      <c r="P222" s="23"/>
    </row>
    <row r="223" spans="3:16" x14ac:dyDescent="0.25">
      <c r="J223" s="117"/>
      <c r="K223" s="117"/>
      <c r="L223" s="117"/>
      <c r="M223" s="117"/>
      <c r="N223" s="23"/>
      <c r="O223" s="23"/>
      <c r="P223" s="23"/>
    </row>
    <row r="224" spans="3:16" x14ac:dyDescent="0.25">
      <c r="J224" s="117"/>
      <c r="K224" s="117"/>
      <c r="L224" s="117"/>
      <c r="M224" s="117"/>
      <c r="N224" s="23"/>
      <c r="O224" s="23"/>
      <c r="P224" s="23"/>
    </row>
    <row r="225" spans="10:16" x14ac:dyDescent="0.25">
      <c r="J225" s="117"/>
      <c r="K225" s="117"/>
      <c r="L225" s="117"/>
      <c r="M225" s="117"/>
      <c r="N225" s="23"/>
      <c r="O225" s="23"/>
      <c r="P225" s="23"/>
    </row>
    <row r="226" spans="10:16" x14ac:dyDescent="0.25">
      <c r="J226" s="117"/>
      <c r="K226" s="117"/>
      <c r="L226" s="117"/>
      <c r="M226" s="117"/>
      <c r="N226" s="23"/>
      <c r="O226" s="23"/>
      <c r="P226" s="23"/>
    </row>
    <row r="227" spans="10:16" x14ac:dyDescent="0.25">
      <c r="J227" s="117"/>
      <c r="K227" s="117"/>
      <c r="L227" s="117"/>
      <c r="M227" s="117"/>
      <c r="N227" s="23"/>
      <c r="O227" s="23"/>
      <c r="P227" s="23"/>
    </row>
    <row r="228" spans="10:16" x14ac:dyDescent="0.25">
      <c r="J228" s="117"/>
      <c r="K228" s="117"/>
      <c r="L228" s="117"/>
      <c r="M228" s="117"/>
      <c r="N228" s="23"/>
      <c r="O228" s="23"/>
      <c r="P228" s="23"/>
    </row>
    <row r="229" spans="10:16" x14ac:dyDescent="0.25">
      <c r="J229" s="117"/>
      <c r="K229" s="117"/>
      <c r="L229" s="117"/>
      <c r="M229" s="117"/>
      <c r="N229" s="23"/>
      <c r="O229" s="23"/>
      <c r="P229" s="23"/>
    </row>
    <row r="230" spans="10:16" x14ac:dyDescent="0.25">
      <c r="J230" s="117"/>
      <c r="K230" s="117"/>
      <c r="L230" s="117"/>
      <c r="M230" s="117"/>
      <c r="N230" s="23"/>
      <c r="O230" s="23"/>
      <c r="P230" s="23"/>
    </row>
    <row r="231" spans="10:16" x14ac:dyDescent="0.25">
      <c r="J231" s="117"/>
      <c r="K231" s="117"/>
      <c r="L231" s="117"/>
      <c r="M231" s="117"/>
      <c r="N231" s="23"/>
      <c r="O231" s="23"/>
      <c r="P231" s="23"/>
    </row>
    <row r="232" spans="10:16" x14ac:dyDescent="0.25">
      <c r="J232" s="117"/>
      <c r="K232" s="117"/>
      <c r="L232" s="117"/>
      <c r="M232" s="117"/>
      <c r="N232" s="23"/>
      <c r="O232" s="23"/>
      <c r="P232" s="23"/>
    </row>
    <row r="233" spans="10:16" x14ac:dyDescent="0.25">
      <c r="J233" s="117"/>
      <c r="K233" s="117"/>
      <c r="L233" s="117"/>
      <c r="M233" s="117"/>
      <c r="N233" s="23"/>
      <c r="O233" s="23"/>
      <c r="P233" s="23"/>
    </row>
    <row r="234" spans="10:16" x14ac:dyDescent="0.25">
      <c r="J234" s="117"/>
      <c r="K234" s="117"/>
      <c r="L234" s="117"/>
      <c r="M234" s="117"/>
      <c r="N234" s="23"/>
      <c r="O234" s="23"/>
      <c r="P234" s="23"/>
    </row>
    <row r="235" spans="10:16" x14ac:dyDescent="0.25">
      <c r="J235" s="117"/>
      <c r="K235" s="117"/>
      <c r="L235" s="117"/>
      <c r="M235" s="117"/>
      <c r="N235" s="23"/>
      <c r="O235" s="23"/>
      <c r="P235" s="23"/>
    </row>
    <row r="236" spans="10:16" x14ac:dyDescent="0.25">
      <c r="J236" s="117"/>
      <c r="K236" s="117"/>
      <c r="L236" s="117"/>
      <c r="M236" s="117"/>
      <c r="N236" s="23"/>
      <c r="O236" s="23"/>
      <c r="P236" s="23"/>
    </row>
    <row r="237" spans="10:16" x14ac:dyDescent="0.25">
      <c r="J237" s="117"/>
      <c r="K237" s="117"/>
      <c r="L237" s="117"/>
      <c r="M237" s="117"/>
      <c r="N237" s="23"/>
      <c r="O237" s="23"/>
      <c r="P237" s="23"/>
    </row>
    <row r="238" spans="10:16" x14ac:dyDescent="0.25">
      <c r="J238" s="117"/>
      <c r="K238" s="117"/>
      <c r="L238" s="117"/>
      <c r="M238" s="117"/>
      <c r="N238" s="23"/>
      <c r="O238" s="23"/>
      <c r="P238" s="23"/>
    </row>
    <row r="239" spans="10:16" x14ac:dyDescent="0.25">
      <c r="J239" s="117"/>
      <c r="K239" s="117"/>
      <c r="L239" s="117"/>
      <c r="M239" s="117"/>
      <c r="N239" s="23"/>
      <c r="O239" s="23"/>
      <c r="P239" s="23"/>
    </row>
    <row r="240" spans="10:16" x14ac:dyDescent="0.25">
      <c r="J240" s="117"/>
      <c r="K240" s="117"/>
      <c r="L240" s="117"/>
      <c r="M240" s="117"/>
      <c r="N240" s="23"/>
      <c r="O240" s="23"/>
      <c r="P240" s="23"/>
    </row>
    <row r="241" spans="10:16" x14ac:dyDescent="0.25">
      <c r="J241" s="117"/>
      <c r="K241" s="117"/>
      <c r="L241" s="117"/>
      <c r="M241" s="117"/>
      <c r="N241" s="23"/>
      <c r="O241" s="23"/>
      <c r="P241" s="23"/>
    </row>
    <row r="242" spans="10:16" x14ac:dyDescent="0.25">
      <c r="J242" s="117"/>
      <c r="K242" s="117"/>
      <c r="L242" s="117"/>
      <c r="M242" s="117"/>
      <c r="N242" s="23"/>
      <c r="O242" s="23"/>
      <c r="P242" s="23"/>
    </row>
    <row r="243" spans="10:16" x14ac:dyDescent="0.25">
      <c r="J243" s="117"/>
      <c r="K243" s="117"/>
      <c r="L243" s="117"/>
      <c r="M243" s="117"/>
      <c r="N243" s="23"/>
      <c r="O243" s="23"/>
      <c r="P243" s="23"/>
    </row>
    <row r="244" spans="10:16" x14ac:dyDescent="0.25">
      <c r="J244" s="117"/>
      <c r="K244" s="117"/>
      <c r="L244" s="117"/>
      <c r="M244" s="117"/>
      <c r="N244" s="23"/>
      <c r="O244" s="23"/>
      <c r="P244" s="23"/>
    </row>
    <row r="245" spans="10:16" x14ac:dyDescent="0.25">
      <c r="J245" s="117"/>
      <c r="K245" s="117"/>
      <c r="L245" s="117"/>
      <c r="M245" s="117"/>
      <c r="N245" s="23"/>
      <c r="O245" s="23"/>
      <c r="P245" s="23"/>
    </row>
    <row r="246" spans="10:16" x14ac:dyDescent="0.25">
      <c r="J246" s="117"/>
      <c r="K246" s="117"/>
      <c r="L246" s="117"/>
      <c r="M246" s="117"/>
      <c r="N246" s="23"/>
      <c r="O246" s="23"/>
      <c r="P246" s="23"/>
    </row>
    <row r="247" spans="10:16" x14ac:dyDescent="0.25">
      <c r="J247" s="117"/>
      <c r="K247" s="117"/>
      <c r="L247" s="117"/>
      <c r="M247" s="117"/>
      <c r="N247" s="23"/>
      <c r="O247" s="23"/>
      <c r="P247" s="23"/>
    </row>
    <row r="248" spans="10:16" x14ac:dyDescent="0.25">
      <c r="J248" s="117"/>
      <c r="K248" s="117"/>
      <c r="L248" s="117"/>
      <c r="M248" s="117"/>
      <c r="N248" s="23"/>
      <c r="O248" s="23"/>
      <c r="P248" s="23"/>
    </row>
    <row r="249" spans="10:16" x14ac:dyDescent="0.25">
      <c r="J249" s="117"/>
      <c r="K249" s="117"/>
      <c r="L249" s="117"/>
      <c r="M249" s="117"/>
      <c r="N249" s="23"/>
      <c r="O249" s="23"/>
      <c r="P249" s="23"/>
    </row>
    <row r="250" spans="10:16" x14ac:dyDescent="0.25">
      <c r="J250" s="117"/>
      <c r="K250" s="117"/>
      <c r="L250" s="117"/>
      <c r="M250" s="117"/>
      <c r="N250" s="23"/>
      <c r="O250" s="23"/>
      <c r="P250" s="23"/>
    </row>
    <row r="251" spans="10:16" x14ac:dyDescent="0.25">
      <c r="J251" s="117"/>
      <c r="K251" s="117"/>
      <c r="L251" s="117"/>
      <c r="M251" s="117"/>
      <c r="N251" s="23"/>
      <c r="O251" s="23"/>
      <c r="P251" s="23"/>
    </row>
    <row r="252" spans="10:16" x14ac:dyDescent="0.25">
      <c r="J252" s="117"/>
      <c r="K252" s="117"/>
      <c r="L252" s="117"/>
      <c r="M252" s="117"/>
      <c r="N252" s="23"/>
      <c r="O252" s="23"/>
      <c r="P252" s="23"/>
    </row>
    <row r="253" spans="10:16" x14ac:dyDescent="0.25">
      <c r="J253" s="117"/>
      <c r="K253" s="117"/>
      <c r="L253" s="117"/>
      <c r="M253" s="117"/>
      <c r="N253" s="23"/>
      <c r="O253" s="23"/>
      <c r="P253" s="23"/>
    </row>
    <row r="254" spans="10:16" x14ac:dyDescent="0.25">
      <c r="J254" s="117"/>
      <c r="K254" s="117"/>
      <c r="L254" s="117"/>
      <c r="M254" s="117"/>
      <c r="N254" s="23"/>
      <c r="O254" s="23"/>
      <c r="P254" s="23"/>
    </row>
    <row r="255" spans="10:16" x14ac:dyDescent="0.25">
      <c r="J255" s="117"/>
      <c r="K255" s="117"/>
      <c r="L255" s="117"/>
      <c r="M255" s="117"/>
      <c r="N255" s="23"/>
      <c r="O255" s="23"/>
      <c r="P255" s="23"/>
    </row>
    <row r="256" spans="10:16" x14ac:dyDescent="0.25">
      <c r="J256" s="117"/>
      <c r="K256" s="117"/>
      <c r="L256" s="117"/>
      <c r="M256" s="117"/>
      <c r="N256" s="23"/>
      <c r="O256" s="23"/>
      <c r="P256" s="23"/>
    </row>
    <row r="257" spans="10:16" x14ac:dyDescent="0.25">
      <c r="J257" s="117"/>
      <c r="K257" s="117"/>
      <c r="L257" s="117"/>
      <c r="M257" s="117"/>
      <c r="N257" s="23"/>
      <c r="O257" s="23"/>
      <c r="P257" s="23"/>
    </row>
    <row r="258" spans="10:16" x14ac:dyDescent="0.25">
      <c r="J258" s="117"/>
      <c r="K258" s="117"/>
      <c r="L258" s="117"/>
      <c r="M258" s="117"/>
      <c r="N258" s="23"/>
      <c r="O258" s="23"/>
      <c r="P258" s="23"/>
    </row>
    <row r="259" spans="10:16" x14ac:dyDescent="0.25">
      <c r="J259" s="117"/>
      <c r="K259" s="117"/>
      <c r="L259" s="117"/>
      <c r="M259" s="117"/>
      <c r="N259" s="23"/>
      <c r="O259" s="23"/>
      <c r="P259" s="23"/>
    </row>
    <row r="260" spans="10:16" x14ac:dyDescent="0.25">
      <c r="J260" s="117"/>
      <c r="K260" s="117"/>
      <c r="L260" s="117"/>
      <c r="M260" s="117"/>
      <c r="N260" s="23"/>
      <c r="O260" s="23"/>
      <c r="P260" s="23"/>
    </row>
    <row r="261" spans="10:16" x14ac:dyDescent="0.25">
      <c r="J261" s="117"/>
      <c r="K261" s="117"/>
      <c r="L261" s="117"/>
      <c r="M261" s="117"/>
      <c r="N261" s="23"/>
      <c r="O261" s="23"/>
      <c r="P261" s="23"/>
    </row>
    <row r="262" spans="10:16" x14ac:dyDescent="0.25">
      <c r="J262" s="117"/>
      <c r="K262" s="117"/>
      <c r="L262" s="117"/>
      <c r="M262" s="117"/>
      <c r="N262" s="23"/>
      <c r="O262" s="23"/>
      <c r="P262" s="23"/>
    </row>
    <row r="263" spans="10:16" x14ac:dyDescent="0.25">
      <c r="J263" s="117"/>
      <c r="K263" s="117"/>
      <c r="L263" s="117"/>
      <c r="M263" s="117"/>
      <c r="N263" s="23"/>
      <c r="O263" s="23"/>
      <c r="P263" s="23"/>
    </row>
    <row r="264" spans="10:16" x14ac:dyDescent="0.25">
      <c r="J264" s="117"/>
      <c r="K264" s="117"/>
      <c r="L264" s="117"/>
      <c r="M264" s="117"/>
      <c r="N264" s="23"/>
      <c r="O264" s="23"/>
      <c r="P264" s="23"/>
    </row>
    <row r="265" spans="10:16" x14ac:dyDescent="0.25">
      <c r="J265" s="117"/>
      <c r="K265" s="117"/>
      <c r="L265" s="117"/>
      <c r="M265" s="117"/>
      <c r="N265" s="23"/>
      <c r="O265" s="23"/>
      <c r="P265" s="23"/>
    </row>
    <row r="266" spans="10:16" x14ac:dyDescent="0.25">
      <c r="J266" s="117"/>
      <c r="K266" s="117"/>
      <c r="L266" s="117"/>
      <c r="M266" s="117"/>
      <c r="N266" s="23"/>
      <c r="O266" s="23"/>
      <c r="P266" s="23"/>
    </row>
    <row r="267" spans="10:16" x14ac:dyDescent="0.25">
      <c r="J267" s="117"/>
      <c r="K267" s="117"/>
      <c r="L267" s="117"/>
      <c r="M267" s="117"/>
      <c r="N267" s="23"/>
      <c r="O267" s="23"/>
      <c r="P267" s="23"/>
    </row>
    <row r="268" spans="10:16" x14ac:dyDescent="0.25">
      <c r="J268" s="117"/>
      <c r="K268" s="117"/>
      <c r="L268" s="117"/>
      <c r="M268" s="117"/>
      <c r="N268" s="23"/>
      <c r="O268" s="23"/>
      <c r="P268" s="23"/>
    </row>
    <row r="269" spans="10:16" x14ac:dyDescent="0.25">
      <c r="J269" s="117"/>
      <c r="K269" s="117"/>
      <c r="L269" s="117"/>
      <c r="M269" s="117"/>
      <c r="N269" s="23"/>
      <c r="O269" s="23"/>
      <c r="P269" s="23"/>
    </row>
    <row r="270" spans="10:16" x14ac:dyDescent="0.25">
      <c r="J270" s="117"/>
      <c r="K270" s="117"/>
      <c r="L270" s="117"/>
      <c r="M270" s="117"/>
      <c r="N270" s="23"/>
      <c r="O270" s="23"/>
      <c r="P270" s="23"/>
    </row>
    <row r="271" spans="10:16" x14ac:dyDescent="0.25">
      <c r="J271" s="117"/>
      <c r="K271" s="117"/>
      <c r="L271" s="117"/>
      <c r="M271" s="117"/>
      <c r="N271" s="23"/>
      <c r="O271" s="23"/>
      <c r="P271" s="23"/>
    </row>
    <row r="272" spans="10:16" x14ac:dyDescent="0.25">
      <c r="J272" s="117"/>
      <c r="K272" s="117"/>
      <c r="L272" s="117"/>
      <c r="M272" s="117"/>
      <c r="N272" s="23"/>
      <c r="O272" s="23"/>
      <c r="P272" s="23"/>
    </row>
    <row r="273" spans="10:16" x14ac:dyDescent="0.25">
      <c r="J273" s="117"/>
      <c r="K273" s="117"/>
      <c r="L273" s="117"/>
      <c r="M273" s="117"/>
      <c r="N273" s="23"/>
      <c r="O273" s="23"/>
      <c r="P273" s="23"/>
    </row>
    <row r="274" spans="10:16" x14ac:dyDescent="0.25">
      <c r="J274" s="117"/>
      <c r="K274" s="117"/>
      <c r="L274" s="117"/>
      <c r="M274" s="117"/>
      <c r="N274" s="23"/>
      <c r="O274" s="23"/>
      <c r="P274" s="23"/>
    </row>
    <row r="275" spans="10:16" x14ac:dyDescent="0.25">
      <c r="J275" s="117"/>
      <c r="K275" s="117"/>
      <c r="L275" s="117"/>
      <c r="M275" s="117"/>
      <c r="N275" s="23"/>
      <c r="O275" s="23"/>
      <c r="P275" s="23"/>
    </row>
    <row r="276" spans="10:16" x14ac:dyDescent="0.25">
      <c r="J276" s="117"/>
      <c r="K276" s="117"/>
      <c r="L276" s="117"/>
      <c r="M276" s="117"/>
      <c r="N276" s="23"/>
      <c r="O276" s="23"/>
      <c r="P276" s="23"/>
    </row>
    <row r="277" spans="10:16" x14ac:dyDescent="0.25">
      <c r="J277" s="117"/>
      <c r="K277" s="117"/>
      <c r="L277" s="117"/>
      <c r="M277" s="117"/>
      <c r="N277" s="23"/>
      <c r="O277" s="23"/>
      <c r="P277" s="23"/>
    </row>
    <row r="278" spans="10:16" x14ac:dyDescent="0.25">
      <c r="J278" s="117"/>
      <c r="K278" s="117"/>
      <c r="L278" s="117"/>
      <c r="M278" s="117"/>
      <c r="N278" s="23"/>
      <c r="O278" s="23"/>
      <c r="P278" s="23"/>
    </row>
    <row r="279" spans="10:16" x14ac:dyDescent="0.25">
      <c r="J279" s="117"/>
      <c r="K279" s="117"/>
      <c r="L279" s="117"/>
      <c r="M279" s="117"/>
      <c r="N279" s="23"/>
      <c r="O279" s="23"/>
      <c r="P279" s="23"/>
    </row>
    <row r="280" spans="10:16" x14ac:dyDescent="0.25">
      <c r="J280" s="117"/>
      <c r="K280" s="117"/>
      <c r="L280" s="117"/>
      <c r="M280" s="117"/>
      <c r="N280" s="23"/>
      <c r="O280" s="23"/>
      <c r="P280" s="23"/>
    </row>
    <row r="281" spans="10:16" x14ac:dyDescent="0.25">
      <c r="J281" s="117"/>
      <c r="K281" s="117"/>
      <c r="L281" s="117"/>
      <c r="M281" s="117"/>
      <c r="N281" s="23"/>
      <c r="O281" s="23"/>
      <c r="P281" s="23"/>
    </row>
    <row r="282" spans="10:16" x14ac:dyDescent="0.25">
      <c r="J282" s="117"/>
      <c r="K282" s="117"/>
      <c r="L282" s="117"/>
      <c r="M282" s="117"/>
      <c r="N282" s="23"/>
      <c r="O282" s="23"/>
      <c r="P282" s="23"/>
    </row>
    <row r="283" spans="10:16" x14ac:dyDescent="0.25">
      <c r="J283" s="117"/>
      <c r="K283" s="117"/>
      <c r="L283" s="117"/>
      <c r="M283" s="117"/>
      <c r="N283" s="23"/>
      <c r="O283" s="23"/>
      <c r="P283" s="23"/>
    </row>
    <row r="284" spans="10:16" x14ac:dyDescent="0.25">
      <c r="J284" s="117"/>
      <c r="K284" s="117"/>
      <c r="L284" s="117"/>
      <c r="M284" s="117"/>
      <c r="N284" s="23"/>
      <c r="O284" s="23"/>
      <c r="P284" s="23"/>
    </row>
    <row r="285" spans="10:16" x14ac:dyDescent="0.25">
      <c r="J285" s="117"/>
      <c r="K285" s="117"/>
      <c r="L285" s="117"/>
      <c r="M285" s="117"/>
      <c r="N285" s="23"/>
      <c r="O285" s="23"/>
      <c r="P285" s="23"/>
    </row>
    <row r="286" spans="10:16" x14ac:dyDescent="0.25">
      <c r="J286" s="117"/>
      <c r="K286" s="117"/>
      <c r="L286" s="117"/>
      <c r="M286" s="117"/>
      <c r="N286" s="23"/>
      <c r="O286" s="23"/>
      <c r="P286" s="23"/>
    </row>
    <row r="287" spans="10:16" x14ac:dyDescent="0.25">
      <c r="J287" s="117"/>
      <c r="K287" s="117"/>
      <c r="L287" s="117"/>
      <c r="M287" s="117"/>
      <c r="N287" s="23"/>
      <c r="O287" s="23"/>
      <c r="P287" s="23"/>
    </row>
    <row r="288" spans="10:16" x14ac:dyDescent="0.25">
      <c r="J288" s="117"/>
      <c r="K288" s="117"/>
      <c r="L288" s="117"/>
      <c r="M288" s="117"/>
      <c r="N288" s="23"/>
      <c r="O288" s="23"/>
      <c r="P288" s="23"/>
    </row>
    <row r="289" spans="10:16" x14ac:dyDescent="0.25">
      <c r="J289" s="117"/>
      <c r="K289" s="117"/>
      <c r="L289" s="117"/>
      <c r="M289" s="117"/>
      <c r="N289" s="23"/>
      <c r="O289" s="23"/>
      <c r="P289" s="23"/>
    </row>
    <row r="290" spans="10:16" x14ac:dyDescent="0.25">
      <c r="J290" s="117"/>
      <c r="K290" s="117"/>
      <c r="L290" s="117"/>
      <c r="M290" s="117"/>
      <c r="N290" s="23"/>
      <c r="O290" s="23"/>
      <c r="P290" s="23"/>
    </row>
    <row r="291" spans="10:16" x14ac:dyDescent="0.25">
      <c r="J291" s="117"/>
      <c r="K291" s="117"/>
      <c r="L291" s="117"/>
      <c r="M291" s="117"/>
      <c r="N291" s="23"/>
      <c r="O291" s="23"/>
      <c r="P291" s="23"/>
    </row>
    <row r="292" spans="10:16" x14ac:dyDescent="0.25">
      <c r="J292" s="117"/>
      <c r="K292" s="117"/>
      <c r="L292" s="117"/>
      <c r="M292" s="117"/>
      <c r="N292" s="23"/>
      <c r="O292" s="23"/>
      <c r="P292" s="23"/>
    </row>
    <row r="293" spans="10:16" x14ac:dyDescent="0.25">
      <c r="J293" s="117"/>
      <c r="K293" s="117"/>
      <c r="L293" s="117"/>
      <c r="M293" s="117"/>
      <c r="N293" s="23"/>
      <c r="O293" s="23"/>
      <c r="P293" s="23"/>
    </row>
    <row r="294" spans="10:16" x14ac:dyDescent="0.25">
      <c r="J294" s="117"/>
      <c r="K294" s="117"/>
      <c r="L294" s="117"/>
      <c r="M294" s="117"/>
      <c r="N294" s="23"/>
      <c r="O294" s="23"/>
      <c r="P294" s="23"/>
    </row>
    <row r="295" spans="10:16" x14ac:dyDescent="0.25">
      <c r="J295" s="117"/>
      <c r="K295" s="117"/>
      <c r="L295" s="117"/>
      <c r="M295" s="117"/>
      <c r="N295" s="23"/>
      <c r="O295" s="23"/>
      <c r="P295" s="23"/>
    </row>
    <row r="296" spans="10:16" x14ac:dyDescent="0.25">
      <c r="J296" s="117"/>
      <c r="K296" s="117"/>
      <c r="L296" s="117"/>
      <c r="M296" s="117"/>
      <c r="N296" s="23"/>
      <c r="O296" s="23"/>
      <c r="P296" s="23"/>
    </row>
    <row r="297" spans="10:16" x14ac:dyDescent="0.25">
      <c r="J297" s="117"/>
      <c r="K297" s="117"/>
      <c r="L297" s="117"/>
      <c r="M297" s="117"/>
      <c r="N297" s="23"/>
      <c r="O297" s="23"/>
      <c r="P297" s="23"/>
    </row>
    <row r="298" spans="10:16" x14ac:dyDescent="0.25">
      <c r="J298" s="117"/>
      <c r="K298" s="117"/>
      <c r="L298" s="117"/>
      <c r="M298" s="117"/>
      <c r="N298" s="23"/>
      <c r="O298" s="23"/>
      <c r="P298" s="23"/>
    </row>
    <row r="299" spans="10:16" x14ac:dyDescent="0.25">
      <c r="J299" s="117"/>
      <c r="K299" s="117"/>
      <c r="L299" s="117"/>
      <c r="M299" s="117"/>
      <c r="N299" s="23"/>
      <c r="O299" s="23"/>
      <c r="P299" s="23"/>
    </row>
    <row r="300" spans="10:16" x14ac:dyDescent="0.25">
      <c r="J300" s="117"/>
      <c r="K300" s="117"/>
      <c r="L300" s="117"/>
      <c r="M300" s="117"/>
      <c r="N300" s="23"/>
      <c r="O300" s="23"/>
      <c r="P300" s="23"/>
    </row>
    <row r="301" spans="10:16" x14ac:dyDescent="0.25">
      <c r="J301" s="117"/>
      <c r="K301" s="117"/>
      <c r="L301" s="117"/>
      <c r="M301" s="117"/>
      <c r="N301" s="23"/>
      <c r="O301" s="23"/>
      <c r="P301" s="23"/>
    </row>
    <row r="302" spans="10:16" x14ac:dyDescent="0.25">
      <c r="J302" s="117"/>
      <c r="K302" s="117"/>
      <c r="L302" s="117"/>
      <c r="M302" s="117"/>
      <c r="N302" s="23"/>
      <c r="O302" s="23"/>
      <c r="P302" s="23"/>
    </row>
    <row r="303" spans="10:16" x14ac:dyDescent="0.25">
      <c r="J303" s="117"/>
      <c r="K303" s="117"/>
      <c r="L303" s="117"/>
      <c r="M303" s="117"/>
      <c r="N303" s="23"/>
      <c r="O303" s="23"/>
      <c r="P303" s="23"/>
    </row>
    <row r="304" spans="10:16" x14ac:dyDescent="0.25">
      <c r="J304" s="117"/>
      <c r="K304" s="117"/>
      <c r="L304" s="117"/>
      <c r="M304" s="117"/>
      <c r="N304" s="23"/>
      <c r="O304" s="23"/>
      <c r="P304" s="23"/>
    </row>
    <row r="305" spans="10:16" x14ac:dyDescent="0.25">
      <c r="J305" s="117"/>
      <c r="K305" s="117"/>
      <c r="L305" s="117"/>
      <c r="M305" s="117"/>
      <c r="N305" s="23"/>
      <c r="O305" s="23"/>
      <c r="P305" s="23"/>
    </row>
    <row r="306" spans="10:16" x14ac:dyDescent="0.25">
      <c r="J306" s="117"/>
      <c r="K306" s="117"/>
      <c r="L306" s="117"/>
      <c r="M306" s="117"/>
      <c r="N306" s="23"/>
      <c r="O306" s="23"/>
      <c r="P306" s="23"/>
    </row>
    <row r="307" spans="10:16" x14ac:dyDescent="0.25">
      <c r="J307" s="117"/>
      <c r="K307" s="117"/>
      <c r="L307" s="117"/>
      <c r="M307" s="117"/>
      <c r="N307" s="23"/>
      <c r="O307" s="23"/>
      <c r="P307" s="23"/>
    </row>
    <row r="308" spans="10:16" x14ac:dyDescent="0.25">
      <c r="J308" s="117"/>
      <c r="K308" s="117"/>
      <c r="L308" s="117"/>
      <c r="M308" s="117"/>
      <c r="N308" s="23"/>
      <c r="O308" s="23"/>
      <c r="P308" s="23"/>
    </row>
    <row r="309" spans="10:16" x14ac:dyDescent="0.25">
      <c r="J309" s="117"/>
      <c r="K309" s="117"/>
      <c r="L309" s="117"/>
      <c r="M309" s="117"/>
      <c r="N309" s="23"/>
      <c r="O309" s="23"/>
      <c r="P309" s="23"/>
    </row>
    <row r="310" spans="10:16" x14ac:dyDescent="0.25">
      <c r="J310" s="117"/>
      <c r="K310" s="117"/>
      <c r="L310" s="117"/>
      <c r="M310" s="117"/>
      <c r="N310" s="23"/>
      <c r="O310" s="23"/>
      <c r="P310" s="23"/>
    </row>
    <row r="311" spans="10:16" x14ac:dyDescent="0.25">
      <c r="J311" s="117"/>
      <c r="K311" s="117"/>
      <c r="L311" s="117"/>
      <c r="M311" s="117"/>
      <c r="N311" s="23"/>
      <c r="O311" s="23"/>
      <c r="P311" s="23"/>
    </row>
    <row r="312" spans="10:16" x14ac:dyDescent="0.25">
      <c r="J312" s="117"/>
      <c r="K312" s="117"/>
      <c r="L312" s="117"/>
      <c r="M312" s="117"/>
      <c r="N312" s="23"/>
      <c r="O312" s="23"/>
      <c r="P312" s="23"/>
    </row>
    <row r="313" spans="10:16" x14ac:dyDescent="0.25">
      <c r="J313" s="117"/>
      <c r="K313" s="117"/>
      <c r="L313" s="117"/>
      <c r="M313" s="117"/>
      <c r="N313" s="23"/>
      <c r="O313" s="23"/>
      <c r="P313" s="23"/>
    </row>
    <row r="314" spans="10:16" x14ac:dyDescent="0.25">
      <c r="J314" s="117"/>
      <c r="K314" s="117"/>
      <c r="L314" s="117"/>
      <c r="M314" s="117"/>
      <c r="N314" s="23"/>
      <c r="O314" s="23"/>
      <c r="P314" s="23"/>
    </row>
    <row r="315" spans="10:16" x14ac:dyDescent="0.25">
      <c r="J315" s="117"/>
      <c r="K315" s="117"/>
      <c r="L315" s="117"/>
      <c r="M315" s="117"/>
      <c r="N315" s="23"/>
      <c r="O315" s="23"/>
      <c r="P315" s="23"/>
    </row>
    <row r="316" spans="10:16" x14ac:dyDescent="0.25">
      <c r="J316" s="117"/>
      <c r="K316" s="117"/>
      <c r="L316" s="117"/>
      <c r="M316" s="117"/>
      <c r="N316" s="23"/>
      <c r="O316" s="23"/>
      <c r="P316" s="23"/>
    </row>
    <row r="317" spans="10:16" x14ac:dyDescent="0.25">
      <c r="J317" s="117"/>
      <c r="K317" s="117"/>
      <c r="L317" s="117"/>
      <c r="M317" s="117"/>
      <c r="N317" s="23"/>
      <c r="O317" s="23"/>
      <c r="P317" s="23"/>
    </row>
    <row r="318" spans="10:16" x14ac:dyDescent="0.25">
      <c r="J318" s="117"/>
      <c r="K318" s="117"/>
      <c r="L318" s="117"/>
      <c r="M318" s="117"/>
      <c r="N318" s="23"/>
      <c r="O318" s="23"/>
      <c r="P318" s="23"/>
    </row>
    <row r="319" spans="10:16" x14ac:dyDescent="0.25">
      <c r="J319" s="117"/>
      <c r="K319" s="117"/>
      <c r="L319" s="117"/>
      <c r="M319" s="117"/>
      <c r="N319" s="23"/>
      <c r="O319" s="23"/>
      <c r="P319" s="23"/>
    </row>
    <row r="320" spans="10:16" x14ac:dyDescent="0.25">
      <c r="J320" s="117"/>
      <c r="K320" s="117"/>
      <c r="L320" s="117"/>
      <c r="M320" s="117"/>
      <c r="N320" s="23"/>
      <c r="O320" s="23"/>
      <c r="P320" s="23"/>
    </row>
    <row r="321" spans="10:16" x14ac:dyDescent="0.25">
      <c r="J321" s="117"/>
      <c r="K321" s="117"/>
      <c r="L321" s="117"/>
      <c r="M321" s="117"/>
      <c r="N321" s="23"/>
      <c r="O321" s="23"/>
      <c r="P321" s="23"/>
    </row>
    <row r="322" spans="10:16" x14ac:dyDescent="0.25">
      <c r="J322" s="117"/>
      <c r="K322" s="117"/>
      <c r="L322" s="117"/>
      <c r="M322" s="117"/>
      <c r="N322" s="23"/>
      <c r="O322" s="23"/>
      <c r="P322" s="23"/>
    </row>
    <row r="323" spans="10:16" x14ac:dyDescent="0.25">
      <c r="J323" s="117"/>
      <c r="K323" s="117"/>
      <c r="L323" s="117"/>
      <c r="M323" s="117"/>
      <c r="N323" s="23"/>
      <c r="O323" s="23"/>
      <c r="P323" s="23"/>
    </row>
    <row r="324" spans="10:16" x14ac:dyDescent="0.25">
      <c r="J324" s="117"/>
      <c r="K324" s="117"/>
      <c r="L324" s="117"/>
      <c r="M324" s="117"/>
      <c r="N324" s="23"/>
      <c r="O324" s="23"/>
      <c r="P324" s="23"/>
    </row>
    <row r="325" spans="10:16" x14ac:dyDescent="0.25">
      <c r="J325" s="117"/>
      <c r="K325" s="117"/>
      <c r="L325" s="117"/>
      <c r="M325" s="117"/>
      <c r="N325" s="23"/>
      <c r="O325" s="23"/>
      <c r="P325" s="23"/>
    </row>
    <row r="326" spans="10:16" x14ac:dyDescent="0.25">
      <c r="J326" s="117"/>
      <c r="K326" s="117"/>
      <c r="L326" s="117"/>
      <c r="M326" s="117"/>
      <c r="N326" s="23"/>
      <c r="O326" s="23"/>
      <c r="P326" s="23"/>
    </row>
    <row r="327" spans="10:16" x14ac:dyDescent="0.25">
      <c r="J327" s="117"/>
      <c r="K327" s="117"/>
      <c r="L327" s="117"/>
      <c r="M327" s="117"/>
      <c r="N327" s="23"/>
      <c r="O327" s="23"/>
      <c r="P327" s="23"/>
    </row>
    <row r="328" spans="10:16" x14ac:dyDescent="0.25">
      <c r="J328" s="117"/>
      <c r="K328" s="117"/>
      <c r="L328" s="117"/>
      <c r="M328" s="117"/>
      <c r="N328" s="23"/>
      <c r="O328" s="23"/>
      <c r="P328" s="23"/>
    </row>
    <row r="329" spans="10:16" x14ac:dyDescent="0.25">
      <c r="J329" s="117"/>
      <c r="K329" s="117"/>
      <c r="L329" s="117"/>
      <c r="M329" s="117"/>
      <c r="N329" s="23"/>
      <c r="O329" s="23"/>
      <c r="P329" s="23"/>
    </row>
    <row r="330" spans="10:16" x14ac:dyDescent="0.25">
      <c r="J330" s="117"/>
      <c r="K330" s="117"/>
      <c r="L330" s="117"/>
      <c r="M330" s="117"/>
      <c r="N330" s="23"/>
      <c r="O330" s="23"/>
      <c r="P330" s="23"/>
    </row>
    <row r="331" spans="10:16" x14ac:dyDescent="0.25">
      <c r="J331" s="117"/>
      <c r="K331" s="117"/>
      <c r="L331" s="117"/>
      <c r="M331" s="117"/>
      <c r="N331" s="23"/>
      <c r="O331" s="23"/>
      <c r="P331" s="23"/>
    </row>
    <row r="332" spans="10:16" x14ac:dyDescent="0.25">
      <c r="J332" s="117"/>
      <c r="K332" s="117"/>
      <c r="L332" s="117"/>
      <c r="M332" s="117"/>
      <c r="N332" s="23"/>
      <c r="O332" s="23"/>
      <c r="P332" s="23"/>
    </row>
    <row r="333" spans="10:16" x14ac:dyDescent="0.25">
      <c r="J333" s="117"/>
      <c r="K333" s="117"/>
      <c r="L333" s="117"/>
      <c r="M333" s="117"/>
      <c r="N333" s="23"/>
      <c r="O333" s="23"/>
      <c r="P333" s="23"/>
    </row>
    <row r="334" spans="10:16" x14ac:dyDescent="0.25">
      <c r="J334" s="117"/>
      <c r="K334" s="117"/>
      <c r="L334" s="117"/>
      <c r="M334" s="117"/>
      <c r="N334" s="23"/>
      <c r="O334" s="23"/>
      <c r="P334" s="23"/>
    </row>
    <row r="335" spans="10:16" x14ac:dyDescent="0.25">
      <c r="J335" s="117"/>
      <c r="K335" s="117"/>
      <c r="L335" s="117"/>
      <c r="M335" s="117"/>
      <c r="N335" s="23"/>
      <c r="O335" s="23"/>
      <c r="P335" s="23"/>
    </row>
    <row r="336" spans="10:16" x14ac:dyDescent="0.25">
      <c r="J336" s="117"/>
      <c r="K336" s="117"/>
      <c r="L336" s="117"/>
      <c r="M336" s="117"/>
      <c r="N336" s="23"/>
      <c r="O336" s="23"/>
      <c r="P336" s="23"/>
    </row>
    <row r="337" spans="10:16" x14ac:dyDescent="0.25">
      <c r="J337" s="117"/>
      <c r="K337" s="117"/>
      <c r="L337" s="117"/>
      <c r="M337" s="117"/>
      <c r="N337" s="23"/>
      <c r="O337" s="23"/>
      <c r="P337" s="23"/>
    </row>
    <row r="338" spans="10:16" x14ac:dyDescent="0.25">
      <c r="J338" s="117"/>
      <c r="K338" s="117"/>
      <c r="L338" s="117"/>
      <c r="M338" s="117"/>
      <c r="N338" s="23"/>
      <c r="O338" s="23"/>
      <c r="P338" s="23"/>
    </row>
    <row r="339" spans="10:16" x14ac:dyDescent="0.25">
      <c r="J339" s="117"/>
      <c r="K339" s="117"/>
      <c r="L339" s="117"/>
      <c r="M339" s="117"/>
      <c r="N339" s="23"/>
      <c r="O339" s="23"/>
      <c r="P339" s="23"/>
    </row>
    <row r="340" spans="10:16" x14ac:dyDescent="0.25">
      <c r="J340" s="117"/>
      <c r="K340" s="117"/>
      <c r="L340" s="117"/>
      <c r="M340" s="117"/>
      <c r="N340" s="23"/>
      <c r="O340" s="23"/>
      <c r="P340" s="23"/>
    </row>
    <row r="341" spans="10:16" x14ac:dyDescent="0.25">
      <c r="J341" s="117"/>
      <c r="K341" s="117"/>
      <c r="L341" s="117"/>
      <c r="M341" s="117"/>
      <c r="N341" s="23"/>
      <c r="O341" s="23"/>
      <c r="P341" s="23"/>
    </row>
    <row r="342" spans="10:16" x14ac:dyDescent="0.25">
      <c r="J342" s="117"/>
      <c r="K342" s="117"/>
      <c r="L342" s="117"/>
      <c r="M342" s="117"/>
      <c r="N342" s="23"/>
      <c r="O342" s="23"/>
      <c r="P342" s="23"/>
    </row>
    <row r="343" spans="10:16" x14ac:dyDescent="0.25">
      <c r="J343" s="117"/>
      <c r="K343" s="117"/>
      <c r="L343" s="117"/>
      <c r="M343" s="117"/>
      <c r="N343" s="23"/>
      <c r="O343" s="23"/>
      <c r="P343" s="23"/>
    </row>
    <row r="344" spans="10:16" x14ac:dyDescent="0.25">
      <c r="J344" s="117"/>
      <c r="K344" s="117"/>
      <c r="L344" s="117"/>
      <c r="M344" s="117"/>
      <c r="N344" s="23"/>
      <c r="O344" s="23"/>
      <c r="P344" s="23"/>
    </row>
    <row r="345" spans="10:16" x14ac:dyDescent="0.25">
      <c r="J345" s="117"/>
      <c r="K345" s="117"/>
      <c r="L345" s="117"/>
      <c r="M345" s="117"/>
      <c r="N345" s="23"/>
      <c r="O345" s="23"/>
      <c r="P345" s="23"/>
    </row>
    <row r="346" spans="10:16" x14ac:dyDescent="0.25">
      <c r="J346" s="117"/>
      <c r="K346" s="117"/>
      <c r="L346" s="117"/>
      <c r="M346" s="117"/>
      <c r="N346" s="23"/>
      <c r="O346" s="23"/>
      <c r="P346" s="23"/>
    </row>
    <row r="347" spans="10:16" x14ac:dyDescent="0.25">
      <c r="J347" s="117"/>
      <c r="K347" s="117"/>
      <c r="L347" s="117"/>
      <c r="M347" s="117"/>
      <c r="N347" s="23"/>
      <c r="O347" s="23"/>
      <c r="P347" s="23"/>
    </row>
    <row r="348" spans="10:16" x14ac:dyDescent="0.25">
      <c r="J348" s="117"/>
      <c r="K348" s="117"/>
      <c r="L348" s="117"/>
      <c r="M348" s="117"/>
      <c r="N348" s="23"/>
      <c r="O348" s="23"/>
      <c r="P348" s="23"/>
    </row>
    <row r="349" spans="10:16" x14ac:dyDescent="0.25">
      <c r="J349" s="117"/>
      <c r="K349" s="117"/>
      <c r="L349" s="117"/>
      <c r="M349" s="117"/>
      <c r="N349" s="23"/>
      <c r="O349" s="23"/>
      <c r="P349" s="23"/>
    </row>
    <row r="350" spans="10:16" x14ac:dyDescent="0.25">
      <c r="J350" s="117"/>
      <c r="K350" s="117"/>
      <c r="L350" s="117"/>
      <c r="M350" s="117"/>
      <c r="N350" s="23"/>
      <c r="O350" s="23"/>
      <c r="P350" s="23"/>
    </row>
    <row r="351" spans="10:16" x14ac:dyDescent="0.25">
      <c r="J351" s="117"/>
      <c r="K351" s="117"/>
      <c r="L351" s="117"/>
      <c r="M351" s="117"/>
      <c r="N351" s="23"/>
      <c r="O351" s="23"/>
      <c r="P351" s="23"/>
    </row>
    <row r="352" spans="10:16" x14ac:dyDescent="0.25">
      <c r="J352" s="117"/>
      <c r="K352" s="117"/>
      <c r="L352" s="117"/>
      <c r="M352" s="117"/>
      <c r="N352" s="23"/>
      <c r="O352" s="23"/>
      <c r="P352" s="23"/>
    </row>
    <row r="353" spans="10:16" x14ac:dyDescent="0.25">
      <c r="J353" s="117"/>
      <c r="K353" s="117"/>
      <c r="L353" s="117"/>
      <c r="M353" s="117"/>
      <c r="N353" s="23"/>
      <c r="O353" s="23"/>
      <c r="P353" s="23"/>
    </row>
    <row r="354" spans="10:16" x14ac:dyDescent="0.25">
      <c r="J354" s="117"/>
      <c r="K354" s="117"/>
      <c r="L354" s="117"/>
      <c r="M354" s="117"/>
      <c r="N354" s="23"/>
      <c r="O354" s="23"/>
      <c r="P354" s="23"/>
    </row>
    <row r="355" spans="10:16" x14ac:dyDescent="0.25">
      <c r="J355" s="117"/>
      <c r="K355" s="117"/>
      <c r="L355" s="117"/>
      <c r="M355" s="117"/>
      <c r="N355" s="23"/>
      <c r="O355" s="23"/>
      <c r="P355" s="23"/>
    </row>
    <row r="356" spans="10:16" x14ac:dyDescent="0.25">
      <c r="J356" s="117"/>
      <c r="K356" s="117"/>
      <c r="L356" s="117"/>
      <c r="M356" s="117"/>
      <c r="N356" s="23"/>
      <c r="O356" s="23"/>
      <c r="P356" s="23"/>
    </row>
    <row r="357" spans="10:16" x14ac:dyDescent="0.25">
      <c r="J357" s="117"/>
      <c r="K357" s="117"/>
      <c r="L357" s="117"/>
      <c r="M357" s="117"/>
      <c r="N357" s="23"/>
      <c r="O357" s="23"/>
      <c r="P357" s="23"/>
    </row>
    <row r="358" spans="10:16" x14ac:dyDescent="0.25">
      <c r="J358" s="117"/>
      <c r="K358" s="117"/>
      <c r="L358" s="117"/>
      <c r="M358" s="117"/>
      <c r="N358" s="23"/>
      <c r="O358" s="23"/>
      <c r="P358" s="23"/>
    </row>
    <row r="359" spans="10:16" x14ac:dyDescent="0.25">
      <c r="J359" s="117"/>
      <c r="K359" s="117"/>
      <c r="L359" s="117"/>
      <c r="M359" s="117"/>
      <c r="N359" s="23"/>
      <c r="O359" s="23"/>
      <c r="P359" s="23"/>
    </row>
    <row r="360" spans="10:16" x14ac:dyDescent="0.25">
      <c r="J360" s="117"/>
      <c r="K360" s="117"/>
      <c r="L360" s="117"/>
      <c r="M360" s="117"/>
      <c r="N360" s="23"/>
      <c r="O360" s="23"/>
      <c r="P360" s="23"/>
    </row>
    <row r="361" spans="10:16" x14ac:dyDescent="0.25">
      <c r="J361" s="117"/>
      <c r="K361" s="117"/>
      <c r="L361" s="117"/>
      <c r="M361" s="117"/>
      <c r="N361" s="23"/>
      <c r="O361" s="23"/>
      <c r="P361" s="23"/>
    </row>
    <row r="362" spans="10:16" x14ac:dyDescent="0.25">
      <c r="J362" s="117"/>
      <c r="K362" s="117"/>
      <c r="L362" s="117"/>
      <c r="M362" s="117"/>
      <c r="N362" s="23"/>
      <c r="O362" s="23"/>
      <c r="P362" s="23"/>
    </row>
    <row r="363" spans="10:16" x14ac:dyDescent="0.25">
      <c r="J363" s="117"/>
      <c r="K363" s="117"/>
      <c r="L363" s="117"/>
      <c r="M363" s="117"/>
      <c r="N363" s="23"/>
      <c r="O363" s="23"/>
      <c r="P363" s="23"/>
    </row>
    <row r="364" spans="10:16" x14ac:dyDescent="0.25">
      <c r="J364" s="117"/>
      <c r="K364" s="117"/>
      <c r="L364" s="117"/>
      <c r="M364" s="117"/>
      <c r="N364" s="23"/>
      <c r="O364" s="23"/>
      <c r="P364" s="23"/>
    </row>
    <row r="365" spans="10:16" x14ac:dyDescent="0.25">
      <c r="J365" s="117"/>
      <c r="K365" s="117"/>
      <c r="L365" s="117"/>
      <c r="M365" s="117"/>
      <c r="N365" s="23"/>
      <c r="O365" s="23"/>
      <c r="P365" s="23"/>
    </row>
    <row r="366" spans="10:16" x14ac:dyDescent="0.25">
      <c r="J366" s="117"/>
      <c r="K366" s="117"/>
      <c r="L366" s="117"/>
      <c r="M366" s="117"/>
      <c r="N366" s="23"/>
      <c r="O366" s="23"/>
      <c r="P366" s="23"/>
    </row>
    <row r="367" spans="10:16" x14ac:dyDescent="0.25">
      <c r="J367" s="117"/>
      <c r="K367" s="117"/>
      <c r="L367" s="117"/>
      <c r="M367" s="117"/>
      <c r="N367" s="23"/>
      <c r="O367" s="23"/>
      <c r="P367" s="23"/>
    </row>
    <row r="368" spans="10:16" x14ac:dyDescent="0.25">
      <c r="J368" s="117"/>
      <c r="K368" s="117"/>
      <c r="L368" s="117"/>
      <c r="M368" s="117"/>
      <c r="N368" s="23"/>
      <c r="O368" s="23"/>
      <c r="P368" s="23"/>
    </row>
    <row r="369" spans="10:16" x14ac:dyDescent="0.25">
      <c r="J369" s="117"/>
      <c r="K369" s="117"/>
      <c r="L369" s="117"/>
      <c r="M369" s="117"/>
      <c r="N369" s="23"/>
      <c r="O369" s="23"/>
      <c r="P369" s="23"/>
    </row>
    <row r="370" spans="10:16" x14ac:dyDescent="0.25">
      <c r="J370" s="117"/>
      <c r="K370" s="117"/>
      <c r="L370" s="117"/>
      <c r="M370" s="117"/>
      <c r="N370" s="23"/>
      <c r="O370" s="23"/>
      <c r="P370" s="23"/>
    </row>
    <row r="371" spans="10:16" x14ac:dyDescent="0.25">
      <c r="J371" s="117"/>
      <c r="K371" s="117"/>
      <c r="L371" s="117"/>
      <c r="M371" s="117"/>
      <c r="N371" s="23"/>
      <c r="O371" s="23"/>
      <c r="P371" s="23"/>
    </row>
    <row r="372" spans="10:16" x14ac:dyDescent="0.25">
      <c r="J372" s="117"/>
      <c r="K372" s="117"/>
      <c r="L372" s="117"/>
      <c r="M372" s="117"/>
      <c r="N372" s="23"/>
      <c r="O372" s="23"/>
      <c r="P372" s="23"/>
    </row>
    <row r="373" spans="10:16" x14ac:dyDescent="0.25">
      <c r="J373" s="117"/>
      <c r="K373" s="117"/>
      <c r="L373" s="117"/>
      <c r="M373" s="117"/>
      <c r="N373" s="23"/>
      <c r="O373" s="23"/>
      <c r="P373" s="23"/>
    </row>
    <row r="374" spans="10:16" x14ac:dyDescent="0.25">
      <c r="J374" s="117"/>
      <c r="K374" s="117"/>
      <c r="L374" s="117"/>
      <c r="M374" s="117"/>
      <c r="N374" s="23"/>
      <c r="O374" s="23"/>
      <c r="P374" s="23"/>
    </row>
    <row r="375" spans="10:16" x14ac:dyDescent="0.25">
      <c r="J375" s="117"/>
      <c r="K375" s="117"/>
      <c r="L375" s="117"/>
      <c r="M375" s="117"/>
      <c r="N375" s="23"/>
      <c r="O375" s="23"/>
      <c r="P375" s="23"/>
    </row>
    <row r="376" spans="10:16" x14ac:dyDescent="0.25">
      <c r="J376" s="117"/>
      <c r="K376" s="117"/>
      <c r="L376" s="117"/>
      <c r="M376" s="117"/>
      <c r="N376" s="23"/>
      <c r="O376" s="23"/>
      <c r="P376" s="23"/>
    </row>
    <row r="377" spans="10:16" x14ac:dyDescent="0.25">
      <c r="J377" s="117"/>
      <c r="K377" s="117"/>
      <c r="L377" s="117"/>
      <c r="M377" s="117"/>
      <c r="N377" s="23"/>
      <c r="O377" s="23"/>
      <c r="P377" s="23"/>
    </row>
    <row r="378" spans="10:16" x14ac:dyDescent="0.25">
      <c r="J378" s="117"/>
      <c r="K378" s="117"/>
      <c r="L378" s="117"/>
      <c r="M378" s="117"/>
      <c r="N378" s="23"/>
      <c r="O378" s="23"/>
      <c r="P378" s="23"/>
    </row>
    <row r="379" spans="10:16" x14ac:dyDescent="0.25">
      <c r="J379" s="117"/>
      <c r="K379" s="117"/>
      <c r="L379" s="117"/>
      <c r="M379" s="117"/>
      <c r="N379" s="23"/>
      <c r="O379" s="23"/>
      <c r="P379" s="23"/>
    </row>
    <row r="380" spans="10:16" x14ac:dyDescent="0.25">
      <c r="J380" s="117"/>
      <c r="K380" s="117"/>
      <c r="L380" s="117"/>
      <c r="M380" s="117"/>
      <c r="N380" s="23"/>
      <c r="O380" s="23"/>
      <c r="P380" s="23"/>
    </row>
    <row r="381" spans="10:16" x14ac:dyDescent="0.25">
      <c r="J381" s="117"/>
      <c r="K381" s="117"/>
      <c r="L381" s="117"/>
      <c r="M381" s="117"/>
      <c r="N381" s="23"/>
      <c r="O381" s="23"/>
      <c r="P381" s="23"/>
    </row>
    <row r="382" spans="10:16" x14ac:dyDescent="0.25">
      <c r="J382" s="117"/>
      <c r="K382" s="117"/>
      <c r="L382" s="117"/>
      <c r="M382" s="117"/>
      <c r="N382" s="23"/>
      <c r="O382" s="23"/>
      <c r="P382" s="23"/>
    </row>
    <row r="383" spans="10:16" x14ac:dyDescent="0.25">
      <c r="J383" s="117"/>
      <c r="K383" s="117"/>
      <c r="L383" s="117"/>
      <c r="M383" s="117"/>
      <c r="N383" s="23"/>
      <c r="O383" s="23"/>
      <c r="P383" s="23"/>
    </row>
    <row r="384" spans="10:16" x14ac:dyDescent="0.25">
      <c r="J384" s="117"/>
      <c r="K384" s="117"/>
      <c r="L384" s="117"/>
      <c r="M384" s="117"/>
      <c r="N384" s="23"/>
      <c r="O384" s="23"/>
      <c r="P384" s="23"/>
    </row>
    <row r="385" spans="10:16" x14ac:dyDescent="0.25">
      <c r="J385" s="117"/>
      <c r="K385" s="117"/>
      <c r="L385" s="117"/>
      <c r="M385" s="117"/>
      <c r="N385" s="23"/>
      <c r="O385" s="23"/>
      <c r="P385" s="23"/>
    </row>
    <row r="386" spans="10:16" x14ac:dyDescent="0.25">
      <c r="J386" s="117"/>
      <c r="K386" s="117"/>
      <c r="L386" s="117"/>
      <c r="M386" s="117"/>
      <c r="N386" s="23"/>
      <c r="O386" s="23"/>
      <c r="P386" s="23"/>
    </row>
    <row r="387" spans="10:16" x14ac:dyDescent="0.25">
      <c r="J387" s="117"/>
      <c r="K387" s="117"/>
      <c r="L387" s="117"/>
      <c r="M387" s="117"/>
      <c r="N387" s="23"/>
      <c r="O387" s="23"/>
      <c r="P387" s="23"/>
    </row>
    <row r="388" spans="10:16" x14ac:dyDescent="0.25">
      <c r="J388" s="117"/>
      <c r="K388" s="117"/>
      <c r="L388" s="117"/>
      <c r="M388" s="117"/>
      <c r="N388" s="23"/>
      <c r="O388" s="23"/>
      <c r="P388" s="23"/>
    </row>
    <row r="389" spans="10:16" x14ac:dyDescent="0.25">
      <c r="J389" s="117"/>
      <c r="K389" s="117"/>
      <c r="L389" s="117"/>
      <c r="M389" s="117"/>
      <c r="N389" s="23"/>
      <c r="O389" s="23"/>
      <c r="P389" s="23"/>
    </row>
    <row r="390" spans="10:16" x14ac:dyDescent="0.25">
      <c r="J390" s="117"/>
      <c r="K390" s="117"/>
      <c r="L390" s="117"/>
      <c r="M390" s="117"/>
      <c r="N390" s="23"/>
      <c r="O390" s="23"/>
      <c r="P390" s="23"/>
    </row>
    <row r="391" spans="10:16" x14ac:dyDescent="0.25">
      <c r="J391" s="117"/>
      <c r="K391" s="117"/>
      <c r="L391" s="117"/>
      <c r="M391" s="117"/>
      <c r="N391" s="23"/>
      <c r="O391" s="23"/>
      <c r="P391" s="23"/>
    </row>
    <row r="392" spans="10:16" x14ac:dyDescent="0.25">
      <c r="J392" s="117"/>
      <c r="K392" s="117"/>
      <c r="L392" s="117"/>
      <c r="M392" s="117"/>
      <c r="N392" s="23"/>
      <c r="O392" s="23"/>
      <c r="P392" s="23"/>
    </row>
    <row r="393" spans="10:16" x14ac:dyDescent="0.25">
      <c r="J393" s="117"/>
      <c r="K393" s="117"/>
      <c r="L393" s="117"/>
      <c r="M393" s="117"/>
      <c r="N393" s="23"/>
      <c r="O393" s="23"/>
      <c r="P393" s="23"/>
    </row>
    <row r="394" spans="10:16" x14ac:dyDescent="0.25">
      <c r="J394" s="117"/>
      <c r="K394" s="117"/>
      <c r="L394" s="117"/>
      <c r="M394" s="117"/>
      <c r="N394" s="23"/>
      <c r="O394" s="23"/>
      <c r="P394" s="23"/>
    </row>
    <row r="395" spans="10:16" x14ac:dyDescent="0.25">
      <c r="J395" s="117"/>
      <c r="K395" s="117"/>
      <c r="L395" s="117"/>
      <c r="M395" s="117"/>
      <c r="N395" s="23"/>
      <c r="O395" s="23"/>
      <c r="P395" s="23"/>
    </row>
    <row r="396" spans="10:16" x14ac:dyDescent="0.25">
      <c r="J396" s="117"/>
      <c r="K396" s="117"/>
      <c r="L396" s="117"/>
      <c r="M396" s="117"/>
      <c r="N396" s="23"/>
      <c r="O396" s="23"/>
      <c r="P396" s="23"/>
    </row>
    <row r="397" spans="10:16" x14ac:dyDescent="0.25">
      <c r="J397" s="117"/>
      <c r="K397" s="117"/>
      <c r="L397" s="117"/>
      <c r="M397" s="117"/>
      <c r="N397" s="23"/>
      <c r="O397" s="23"/>
      <c r="P397" s="23"/>
    </row>
    <row r="398" spans="10:16" x14ac:dyDescent="0.25">
      <c r="J398" s="117"/>
      <c r="K398" s="117"/>
      <c r="L398" s="117"/>
      <c r="M398" s="117"/>
      <c r="N398" s="23"/>
      <c r="O398" s="23"/>
      <c r="P398" s="23"/>
    </row>
    <row r="399" spans="10:16" x14ac:dyDescent="0.25">
      <c r="J399" s="117"/>
      <c r="K399" s="117"/>
      <c r="L399" s="117"/>
      <c r="M399" s="117"/>
      <c r="N399" s="23"/>
      <c r="O399" s="23"/>
      <c r="P399" s="23"/>
    </row>
    <row r="400" spans="10:16" x14ac:dyDescent="0.25">
      <c r="J400" s="117"/>
      <c r="K400" s="117"/>
      <c r="L400" s="117"/>
      <c r="M400" s="117"/>
      <c r="N400" s="23"/>
      <c r="O400" s="23"/>
      <c r="P400" s="23"/>
    </row>
    <row r="401" spans="10:16" x14ac:dyDescent="0.25">
      <c r="J401" s="117"/>
      <c r="K401" s="117"/>
      <c r="L401" s="117"/>
      <c r="M401" s="117"/>
      <c r="N401" s="23"/>
      <c r="O401" s="23"/>
      <c r="P401" s="23"/>
    </row>
    <row r="402" spans="10:16" x14ac:dyDescent="0.25">
      <c r="J402" s="117"/>
      <c r="K402" s="117"/>
      <c r="L402" s="117"/>
      <c r="M402" s="117"/>
      <c r="N402" s="23"/>
      <c r="O402" s="23"/>
      <c r="P402" s="23"/>
    </row>
    <row r="403" spans="10:16" x14ac:dyDescent="0.25">
      <c r="J403" s="117"/>
      <c r="K403" s="117"/>
      <c r="L403" s="117"/>
      <c r="M403" s="117"/>
      <c r="N403" s="23"/>
      <c r="O403" s="23"/>
      <c r="P403" s="23"/>
    </row>
    <row r="404" spans="10:16" x14ac:dyDescent="0.25">
      <c r="J404" s="117"/>
      <c r="K404" s="117"/>
      <c r="L404" s="117"/>
      <c r="M404" s="117"/>
      <c r="N404" s="23"/>
      <c r="O404" s="23"/>
      <c r="P404" s="23"/>
    </row>
    <row r="405" spans="10:16" x14ac:dyDescent="0.25">
      <c r="J405" s="117"/>
      <c r="K405" s="117"/>
      <c r="L405" s="117"/>
      <c r="M405" s="117"/>
      <c r="N405" s="23"/>
      <c r="O405" s="23"/>
      <c r="P405" s="23"/>
    </row>
    <row r="406" spans="10:16" x14ac:dyDescent="0.25">
      <c r="J406" s="117"/>
      <c r="K406" s="117"/>
      <c r="L406" s="117"/>
      <c r="M406" s="117"/>
      <c r="N406" s="23"/>
      <c r="O406" s="23"/>
      <c r="P406" s="23"/>
    </row>
    <row r="407" spans="10:16" x14ac:dyDescent="0.25">
      <c r="J407" s="117"/>
      <c r="K407" s="117"/>
      <c r="L407" s="117"/>
      <c r="M407" s="117"/>
      <c r="N407" s="23"/>
      <c r="O407" s="23"/>
      <c r="P407" s="23"/>
    </row>
    <row r="408" spans="10:16" x14ac:dyDescent="0.25">
      <c r="J408" s="117"/>
      <c r="K408" s="117"/>
      <c r="L408" s="117"/>
      <c r="M408" s="117"/>
      <c r="N408" s="23"/>
      <c r="O408" s="23"/>
      <c r="P408" s="23"/>
    </row>
    <row r="409" spans="10:16" x14ac:dyDescent="0.25">
      <c r="J409" s="117"/>
      <c r="K409" s="117"/>
      <c r="L409" s="117"/>
      <c r="M409" s="117"/>
      <c r="N409" s="23"/>
      <c r="O409" s="23"/>
      <c r="P409" s="23"/>
    </row>
    <row r="410" spans="10:16" x14ac:dyDescent="0.25">
      <c r="J410" s="117"/>
      <c r="K410" s="117"/>
      <c r="L410" s="117"/>
      <c r="M410" s="117"/>
      <c r="N410" s="23"/>
      <c r="O410" s="23"/>
      <c r="P410" s="23"/>
    </row>
    <row r="411" spans="10:16" x14ac:dyDescent="0.25">
      <c r="J411" s="117"/>
      <c r="K411" s="117"/>
      <c r="L411" s="117"/>
      <c r="M411" s="117"/>
      <c r="N411" s="23"/>
      <c r="O411" s="23"/>
      <c r="P411" s="23"/>
    </row>
    <row r="412" spans="10:16" x14ac:dyDescent="0.25">
      <c r="J412" s="117"/>
      <c r="K412" s="117"/>
      <c r="L412" s="117"/>
      <c r="M412" s="117"/>
      <c r="N412" s="23"/>
      <c r="O412" s="23"/>
      <c r="P412" s="23"/>
    </row>
    <row r="413" spans="10:16" x14ac:dyDescent="0.25">
      <c r="J413" s="117"/>
      <c r="K413" s="117"/>
      <c r="L413" s="117"/>
      <c r="M413" s="117"/>
      <c r="N413" s="23"/>
      <c r="O413" s="23"/>
      <c r="P413" s="23"/>
    </row>
    <row r="414" spans="10:16" x14ac:dyDescent="0.25">
      <c r="J414" s="117"/>
      <c r="K414" s="117"/>
      <c r="L414" s="117"/>
      <c r="M414" s="117"/>
      <c r="N414" s="23"/>
      <c r="O414" s="23"/>
      <c r="P414" s="23"/>
    </row>
    <row r="415" spans="10:16" x14ac:dyDescent="0.25">
      <c r="J415" s="117"/>
      <c r="K415" s="117"/>
      <c r="L415" s="117"/>
      <c r="M415" s="117"/>
      <c r="N415" s="23"/>
      <c r="O415" s="23"/>
      <c r="P415" s="23"/>
    </row>
    <row r="416" spans="10:16" x14ac:dyDescent="0.25">
      <c r="J416" s="117"/>
      <c r="K416" s="117"/>
      <c r="L416" s="117"/>
      <c r="M416" s="117"/>
      <c r="N416" s="23"/>
      <c r="O416" s="23"/>
      <c r="P416" s="23"/>
    </row>
    <row r="417" spans="10:16" x14ac:dyDescent="0.25">
      <c r="J417" s="117"/>
      <c r="K417" s="117"/>
      <c r="L417" s="117"/>
      <c r="M417" s="117"/>
      <c r="N417" s="23"/>
      <c r="O417" s="23"/>
      <c r="P417" s="23"/>
    </row>
    <row r="418" spans="10:16" x14ac:dyDescent="0.25">
      <c r="J418" s="117"/>
      <c r="K418" s="117"/>
      <c r="L418" s="117"/>
      <c r="M418" s="117"/>
      <c r="N418" s="23"/>
      <c r="O418" s="23"/>
      <c r="P418" s="23"/>
    </row>
    <row r="419" spans="10:16" x14ac:dyDescent="0.25">
      <c r="J419" s="117"/>
      <c r="K419" s="117"/>
      <c r="L419" s="117"/>
      <c r="M419" s="117"/>
      <c r="N419" s="23"/>
      <c r="O419" s="23"/>
      <c r="P419" s="23"/>
    </row>
    <row r="420" spans="10:16" x14ac:dyDescent="0.25">
      <c r="J420" s="117"/>
      <c r="K420" s="117"/>
      <c r="L420" s="117"/>
      <c r="M420" s="117"/>
      <c r="N420" s="23"/>
      <c r="O420" s="23"/>
      <c r="P420" s="23"/>
    </row>
    <row r="421" spans="10:16" x14ac:dyDescent="0.25">
      <c r="J421" s="117"/>
      <c r="K421" s="117"/>
      <c r="L421" s="117"/>
      <c r="M421" s="117"/>
      <c r="N421" s="23"/>
      <c r="O421" s="23"/>
      <c r="P421" s="23"/>
    </row>
    <row r="422" spans="10:16" x14ac:dyDescent="0.25">
      <c r="J422" s="117"/>
      <c r="K422" s="117"/>
      <c r="L422" s="117"/>
      <c r="M422" s="117"/>
      <c r="N422" s="23"/>
      <c r="O422" s="23"/>
      <c r="P422" s="23"/>
    </row>
    <row r="423" spans="10:16" x14ac:dyDescent="0.25">
      <c r="J423" s="117"/>
      <c r="K423" s="117"/>
      <c r="L423" s="117"/>
      <c r="M423" s="117"/>
      <c r="N423" s="23"/>
      <c r="O423" s="23"/>
      <c r="P423" s="23"/>
    </row>
    <row r="424" spans="10:16" x14ac:dyDescent="0.25">
      <c r="J424" s="117"/>
      <c r="K424" s="117"/>
      <c r="L424" s="117"/>
      <c r="M424" s="117"/>
      <c r="N424" s="23"/>
      <c r="O424" s="23"/>
      <c r="P424" s="23"/>
    </row>
    <row r="425" spans="10:16" x14ac:dyDescent="0.25">
      <c r="J425" s="117"/>
      <c r="K425" s="117"/>
      <c r="L425" s="117"/>
      <c r="M425" s="117"/>
      <c r="N425" s="23"/>
      <c r="O425" s="23"/>
      <c r="P425" s="23"/>
    </row>
    <row r="426" spans="10:16" x14ac:dyDescent="0.25">
      <c r="J426" s="117"/>
      <c r="K426" s="117"/>
      <c r="L426" s="117"/>
      <c r="M426" s="117"/>
      <c r="N426" s="23"/>
      <c r="O426" s="23"/>
      <c r="P426" s="23"/>
    </row>
    <row r="427" spans="10:16" x14ac:dyDescent="0.25">
      <c r="J427" s="117"/>
      <c r="K427" s="117"/>
      <c r="L427" s="117"/>
      <c r="M427" s="117"/>
      <c r="N427" s="23"/>
      <c r="O427" s="23"/>
      <c r="P427" s="23"/>
    </row>
    <row r="428" spans="10:16" x14ac:dyDescent="0.25">
      <c r="J428" s="117"/>
      <c r="K428" s="117"/>
      <c r="L428" s="117"/>
      <c r="M428" s="117"/>
      <c r="N428" s="23"/>
      <c r="O428" s="23"/>
      <c r="P428" s="23"/>
    </row>
    <row r="429" spans="10:16" x14ac:dyDescent="0.25">
      <c r="J429" s="117"/>
      <c r="K429" s="117"/>
      <c r="L429" s="117"/>
      <c r="M429" s="117"/>
      <c r="N429" s="23"/>
      <c r="O429" s="23"/>
      <c r="P429" s="23"/>
    </row>
    <row r="430" spans="10:16" x14ac:dyDescent="0.25">
      <c r="J430" s="117"/>
      <c r="K430" s="117"/>
      <c r="L430" s="117"/>
      <c r="M430" s="117"/>
      <c r="N430" s="23"/>
      <c r="O430" s="23"/>
      <c r="P430" s="23"/>
    </row>
    <row r="431" spans="10:16" x14ac:dyDescent="0.25">
      <c r="J431" s="117"/>
      <c r="K431" s="117"/>
      <c r="L431" s="117"/>
      <c r="M431" s="117"/>
      <c r="N431" s="23"/>
      <c r="O431" s="23"/>
      <c r="P431" s="23"/>
    </row>
    <row r="432" spans="10:16" x14ac:dyDescent="0.25">
      <c r="J432" s="117"/>
      <c r="K432" s="117"/>
      <c r="L432" s="117"/>
      <c r="M432" s="117"/>
      <c r="N432" s="23"/>
      <c r="O432" s="23"/>
      <c r="P432" s="23"/>
    </row>
    <row r="433" spans="10:16" x14ac:dyDescent="0.25">
      <c r="J433" s="117"/>
      <c r="K433" s="117"/>
      <c r="L433" s="117"/>
      <c r="M433" s="117"/>
      <c r="N433" s="23"/>
      <c r="O433" s="23"/>
      <c r="P433" s="23"/>
    </row>
    <row r="434" spans="10:16" x14ac:dyDescent="0.25">
      <c r="J434" s="117"/>
      <c r="K434" s="117"/>
      <c r="L434" s="117"/>
      <c r="M434" s="117"/>
      <c r="N434" s="23"/>
      <c r="O434" s="23"/>
      <c r="P434" s="23"/>
    </row>
    <row r="435" spans="10:16" x14ac:dyDescent="0.25">
      <c r="J435" s="117"/>
      <c r="K435" s="117"/>
      <c r="L435" s="117"/>
      <c r="M435" s="117"/>
      <c r="N435" s="23"/>
      <c r="O435" s="23"/>
      <c r="P435" s="23"/>
    </row>
    <row r="436" spans="10:16" x14ac:dyDescent="0.25">
      <c r="J436" s="117"/>
      <c r="K436" s="117"/>
      <c r="L436" s="117"/>
      <c r="M436" s="117"/>
      <c r="N436" s="23"/>
      <c r="O436" s="23"/>
      <c r="P436" s="23"/>
    </row>
    <row r="437" spans="10:16" x14ac:dyDescent="0.25">
      <c r="J437" s="117"/>
      <c r="K437" s="117"/>
      <c r="L437" s="117"/>
      <c r="M437" s="117"/>
      <c r="N437" s="23"/>
      <c r="O437" s="23"/>
      <c r="P437" s="23"/>
    </row>
    <row r="438" spans="10:16" x14ac:dyDescent="0.25">
      <c r="J438" s="117"/>
      <c r="K438" s="117"/>
      <c r="L438" s="117"/>
      <c r="M438" s="117"/>
      <c r="N438" s="23"/>
      <c r="O438" s="23"/>
      <c r="P438" s="23"/>
    </row>
    <row r="439" spans="10:16" x14ac:dyDescent="0.25">
      <c r="J439" s="117"/>
      <c r="K439" s="117"/>
      <c r="L439" s="117"/>
      <c r="M439" s="117"/>
      <c r="N439" s="23"/>
      <c r="O439" s="23"/>
      <c r="P439" s="23"/>
    </row>
    <row r="440" spans="10:16" x14ac:dyDescent="0.25">
      <c r="J440" s="117"/>
      <c r="K440" s="117"/>
      <c r="L440" s="117"/>
      <c r="M440" s="117"/>
      <c r="N440" s="23"/>
      <c r="O440" s="23"/>
      <c r="P440" s="23"/>
    </row>
    <row r="441" spans="10:16" x14ac:dyDescent="0.25">
      <c r="J441" s="117"/>
      <c r="K441" s="117"/>
      <c r="L441" s="117"/>
      <c r="M441" s="117"/>
      <c r="N441" s="23"/>
      <c r="O441" s="23"/>
      <c r="P441" s="23"/>
    </row>
    <row r="442" spans="10:16" x14ac:dyDescent="0.25">
      <c r="J442" s="117"/>
      <c r="K442" s="117"/>
      <c r="L442" s="117"/>
      <c r="M442" s="117"/>
      <c r="N442" s="23"/>
      <c r="O442" s="23"/>
      <c r="P442" s="23"/>
    </row>
    <row r="443" spans="10:16" x14ac:dyDescent="0.25">
      <c r="J443" s="117"/>
      <c r="K443" s="117"/>
      <c r="L443" s="117"/>
      <c r="M443" s="117"/>
      <c r="N443" s="23"/>
      <c r="O443" s="23"/>
      <c r="P443" s="23"/>
    </row>
    <row r="444" spans="10:16" x14ac:dyDescent="0.25">
      <c r="J444" s="117"/>
      <c r="K444" s="117"/>
      <c r="L444" s="117"/>
      <c r="M444" s="117"/>
      <c r="N444" s="23"/>
      <c r="O444" s="23"/>
      <c r="P444" s="23"/>
    </row>
    <row r="445" spans="10:16" x14ac:dyDescent="0.25">
      <c r="J445" s="117"/>
      <c r="K445" s="117"/>
      <c r="L445" s="117"/>
      <c r="M445" s="117"/>
      <c r="N445" s="23"/>
      <c r="O445" s="23"/>
      <c r="P445" s="23"/>
    </row>
    <row r="446" spans="10:16" x14ac:dyDescent="0.25">
      <c r="J446" s="117"/>
      <c r="K446" s="117"/>
      <c r="L446" s="117"/>
      <c r="M446" s="117"/>
      <c r="N446" s="23"/>
      <c r="O446" s="23"/>
      <c r="P446" s="23"/>
    </row>
    <row r="447" spans="10:16" x14ac:dyDescent="0.25">
      <c r="J447" s="117"/>
      <c r="K447" s="117"/>
      <c r="L447" s="117"/>
      <c r="M447" s="117"/>
      <c r="N447" s="23"/>
      <c r="O447" s="23"/>
      <c r="P447" s="23"/>
    </row>
    <row r="448" spans="10:16" x14ac:dyDescent="0.25">
      <c r="J448" s="117"/>
      <c r="K448" s="117"/>
      <c r="L448" s="117"/>
      <c r="M448" s="117"/>
      <c r="N448" s="23"/>
      <c r="O448" s="23"/>
      <c r="P448" s="23"/>
    </row>
    <row r="449" spans="10:16" x14ac:dyDescent="0.25">
      <c r="J449" s="117"/>
      <c r="K449" s="117"/>
      <c r="L449" s="117"/>
      <c r="M449" s="117"/>
      <c r="N449" s="23"/>
      <c r="O449" s="23"/>
      <c r="P449" s="23"/>
    </row>
    <row r="450" spans="10:16" x14ac:dyDescent="0.25">
      <c r="J450" s="117"/>
      <c r="K450" s="117"/>
      <c r="L450" s="117"/>
      <c r="M450" s="117"/>
      <c r="N450" s="23"/>
      <c r="O450" s="23"/>
      <c r="P450" s="23"/>
    </row>
    <row r="451" spans="10:16" x14ac:dyDescent="0.25">
      <c r="J451" s="117"/>
      <c r="K451" s="117"/>
      <c r="L451" s="117"/>
      <c r="M451" s="117"/>
      <c r="N451" s="23"/>
      <c r="O451" s="23"/>
      <c r="P451" s="23"/>
    </row>
    <row r="452" spans="10:16" x14ac:dyDescent="0.25">
      <c r="J452" s="117"/>
      <c r="K452" s="117"/>
      <c r="L452" s="117"/>
      <c r="M452" s="117"/>
      <c r="N452" s="23"/>
      <c r="O452" s="23"/>
      <c r="P452" s="23"/>
    </row>
    <row r="453" spans="10:16" x14ac:dyDescent="0.25">
      <c r="J453" s="117"/>
      <c r="K453" s="117"/>
      <c r="L453" s="117"/>
      <c r="M453" s="117"/>
      <c r="N453" s="23"/>
      <c r="O453" s="23"/>
      <c r="P453" s="23"/>
    </row>
    <row r="454" spans="10:16" x14ac:dyDescent="0.25">
      <c r="J454" s="117"/>
      <c r="K454" s="117"/>
      <c r="L454" s="117"/>
      <c r="M454" s="117"/>
      <c r="N454" s="23"/>
      <c r="O454" s="23"/>
      <c r="P454" s="23"/>
    </row>
    <row r="455" spans="10:16" x14ac:dyDescent="0.25">
      <c r="J455" s="117"/>
      <c r="K455" s="117"/>
      <c r="L455" s="117"/>
      <c r="M455" s="117"/>
      <c r="N455" s="23"/>
      <c r="O455" s="23"/>
      <c r="P455" s="23"/>
    </row>
    <row r="456" spans="10:16" x14ac:dyDescent="0.25">
      <c r="J456" s="117"/>
      <c r="K456" s="117"/>
      <c r="L456" s="117"/>
      <c r="M456" s="117"/>
      <c r="N456" s="23"/>
      <c r="O456" s="23"/>
      <c r="P456" s="23"/>
    </row>
    <row r="457" spans="10:16" x14ac:dyDescent="0.25">
      <c r="J457" s="117"/>
      <c r="K457" s="117"/>
      <c r="L457" s="117"/>
      <c r="M457" s="117"/>
      <c r="N457" s="23"/>
      <c r="O457" s="23"/>
      <c r="P457" s="23"/>
    </row>
    <row r="458" spans="10:16" x14ac:dyDescent="0.25">
      <c r="J458" s="117"/>
      <c r="K458" s="117"/>
      <c r="L458" s="117"/>
      <c r="M458" s="117"/>
      <c r="N458" s="23"/>
      <c r="O458" s="23"/>
      <c r="P458" s="23"/>
    </row>
    <row r="459" spans="10:16" x14ac:dyDescent="0.25">
      <c r="J459" s="117"/>
      <c r="K459" s="117"/>
      <c r="L459" s="117"/>
      <c r="M459" s="117"/>
      <c r="N459" s="23"/>
      <c r="O459" s="23"/>
      <c r="P459" s="23"/>
    </row>
    <row r="460" spans="10:16" x14ac:dyDescent="0.25">
      <c r="J460" s="117"/>
      <c r="K460" s="117"/>
      <c r="L460" s="117"/>
      <c r="M460" s="117"/>
      <c r="N460" s="23"/>
      <c r="O460" s="23"/>
      <c r="P460" s="23"/>
    </row>
    <row r="461" spans="10:16" x14ac:dyDescent="0.25">
      <c r="J461" s="117"/>
      <c r="K461" s="117"/>
      <c r="L461" s="117"/>
      <c r="M461" s="117"/>
      <c r="N461" s="23"/>
      <c r="O461" s="23"/>
      <c r="P461" s="23"/>
    </row>
    <row r="462" spans="10:16" x14ac:dyDescent="0.25">
      <c r="J462" s="117"/>
      <c r="K462" s="117"/>
      <c r="L462" s="117"/>
      <c r="M462" s="117"/>
      <c r="N462" s="23"/>
      <c r="O462" s="23"/>
      <c r="P462" s="23"/>
    </row>
    <row r="463" spans="10:16" x14ac:dyDescent="0.25">
      <c r="J463" s="117"/>
      <c r="K463" s="117"/>
      <c r="L463" s="117"/>
      <c r="M463" s="117"/>
      <c r="N463" s="23"/>
      <c r="O463" s="23"/>
      <c r="P463" s="23"/>
    </row>
    <row r="464" spans="10:16" x14ac:dyDescent="0.25">
      <c r="J464" s="117"/>
      <c r="K464" s="117"/>
      <c r="L464" s="117"/>
      <c r="M464" s="117"/>
      <c r="N464" s="23"/>
      <c r="O464" s="23"/>
      <c r="P464" s="23"/>
    </row>
    <row r="465" spans="10:16" x14ac:dyDescent="0.25">
      <c r="J465" s="117"/>
      <c r="K465" s="117"/>
      <c r="L465" s="117"/>
      <c r="M465" s="117"/>
      <c r="N465" s="23"/>
      <c r="O465" s="23"/>
      <c r="P465" s="23"/>
    </row>
    <row r="466" spans="10:16" x14ac:dyDescent="0.25">
      <c r="J466" s="117"/>
      <c r="K466" s="117"/>
      <c r="L466" s="117"/>
      <c r="M466" s="117"/>
      <c r="N466" s="23"/>
      <c r="O466" s="23"/>
      <c r="P466" s="23"/>
    </row>
    <row r="467" spans="10:16" x14ac:dyDescent="0.25">
      <c r="J467" s="117"/>
      <c r="K467" s="117"/>
      <c r="L467" s="117"/>
      <c r="M467" s="117"/>
      <c r="N467" s="23"/>
      <c r="O467" s="23"/>
      <c r="P467" s="23"/>
    </row>
    <row r="468" spans="10:16" x14ac:dyDescent="0.25">
      <c r="J468" s="117"/>
      <c r="K468" s="117"/>
      <c r="L468" s="117"/>
      <c r="M468" s="117"/>
      <c r="N468" s="23"/>
      <c r="O468" s="23"/>
      <c r="P468" s="23"/>
    </row>
    <row r="469" spans="10:16" x14ac:dyDescent="0.25">
      <c r="J469" s="117"/>
      <c r="K469" s="117"/>
      <c r="L469" s="117"/>
      <c r="M469" s="117"/>
      <c r="N469" s="23"/>
      <c r="O469" s="23"/>
      <c r="P469" s="23"/>
    </row>
    <row r="470" spans="10:16" x14ac:dyDescent="0.25">
      <c r="J470" s="117"/>
      <c r="K470" s="117"/>
      <c r="L470" s="117"/>
      <c r="M470" s="117"/>
      <c r="N470" s="23"/>
      <c r="O470" s="23"/>
      <c r="P470" s="23"/>
    </row>
    <row r="471" spans="10:16" x14ac:dyDescent="0.25">
      <c r="J471" s="117"/>
      <c r="K471" s="117"/>
      <c r="L471" s="117"/>
      <c r="M471" s="117"/>
      <c r="N471" s="23"/>
      <c r="O471" s="23"/>
      <c r="P471" s="23"/>
    </row>
    <row r="472" spans="10:16" x14ac:dyDescent="0.25">
      <c r="J472" s="117"/>
      <c r="K472" s="117"/>
      <c r="L472" s="117"/>
      <c r="M472" s="117"/>
      <c r="N472" s="23"/>
      <c r="O472" s="23"/>
      <c r="P472" s="23"/>
    </row>
    <row r="473" spans="10:16" x14ac:dyDescent="0.25">
      <c r="J473" s="117"/>
      <c r="K473" s="117"/>
      <c r="L473" s="117"/>
      <c r="M473" s="117"/>
      <c r="N473" s="23"/>
      <c r="O473" s="23"/>
      <c r="P473" s="23"/>
    </row>
    <row r="474" spans="10:16" x14ac:dyDescent="0.25">
      <c r="J474" s="117"/>
      <c r="K474" s="117"/>
      <c r="L474" s="117"/>
      <c r="M474" s="117"/>
      <c r="N474" s="23"/>
      <c r="O474" s="23"/>
      <c r="P474" s="23"/>
    </row>
    <row r="475" spans="10:16" x14ac:dyDescent="0.25">
      <c r="J475" s="117"/>
      <c r="K475" s="117"/>
      <c r="L475" s="117"/>
      <c r="M475" s="117"/>
      <c r="N475" s="23"/>
      <c r="O475" s="23"/>
      <c r="P475" s="23"/>
    </row>
    <row r="476" spans="10:16" x14ac:dyDescent="0.25">
      <c r="J476" s="117"/>
      <c r="K476" s="117"/>
      <c r="L476" s="117"/>
      <c r="M476" s="117"/>
      <c r="N476" s="23"/>
      <c r="O476" s="23"/>
      <c r="P476" s="23"/>
    </row>
    <row r="477" spans="10:16" x14ac:dyDescent="0.25">
      <c r="J477" s="117"/>
      <c r="K477" s="117"/>
      <c r="L477" s="117"/>
      <c r="M477" s="117"/>
      <c r="N477" s="23"/>
      <c r="O477" s="23"/>
      <c r="P477" s="23"/>
    </row>
    <row r="478" spans="10:16" x14ac:dyDescent="0.25">
      <c r="J478" s="117"/>
      <c r="K478" s="117"/>
      <c r="L478" s="117"/>
      <c r="M478" s="117"/>
      <c r="N478" s="23"/>
      <c r="O478" s="23"/>
      <c r="P478" s="23"/>
    </row>
    <row r="479" spans="10:16" x14ac:dyDescent="0.25">
      <c r="J479" s="117"/>
      <c r="K479" s="117"/>
      <c r="L479" s="117"/>
      <c r="M479" s="117"/>
      <c r="N479" s="23"/>
      <c r="O479" s="23"/>
      <c r="P479" s="23"/>
    </row>
    <row r="480" spans="10:16" x14ac:dyDescent="0.25">
      <c r="J480" s="117"/>
      <c r="K480" s="117"/>
      <c r="L480" s="117"/>
      <c r="M480" s="117"/>
      <c r="N480" s="23"/>
      <c r="O480" s="23"/>
      <c r="P480" s="23"/>
    </row>
    <row r="481" spans="10:16" x14ac:dyDescent="0.25">
      <c r="J481" s="117"/>
      <c r="K481" s="117"/>
      <c r="L481" s="117"/>
      <c r="M481" s="117"/>
      <c r="N481" s="23"/>
      <c r="O481" s="23"/>
      <c r="P481" s="23"/>
    </row>
    <row r="482" spans="10:16" x14ac:dyDescent="0.25">
      <c r="J482" s="117"/>
      <c r="K482" s="117"/>
      <c r="L482" s="117"/>
      <c r="M482" s="117"/>
      <c r="N482" s="23"/>
      <c r="O482" s="23"/>
      <c r="P482" s="23"/>
    </row>
    <row r="483" spans="10:16" x14ac:dyDescent="0.25">
      <c r="J483" s="117"/>
      <c r="K483" s="117"/>
      <c r="L483" s="117"/>
      <c r="M483" s="117"/>
      <c r="N483" s="23"/>
      <c r="O483" s="23"/>
      <c r="P483" s="23"/>
    </row>
    <row r="484" spans="10:16" x14ac:dyDescent="0.25">
      <c r="J484" s="117"/>
      <c r="K484" s="117"/>
      <c r="L484" s="117"/>
      <c r="M484" s="117"/>
      <c r="N484" s="23"/>
      <c r="O484" s="23"/>
      <c r="P484" s="23"/>
    </row>
    <row r="485" spans="10:16" x14ac:dyDescent="0.25">
      <c r="J485" s="117"/>
      <c r="K485" s="117"/>
      <c r="L485" s="117"/>
      <c r="M485" s="117"/>
      <c r="N485" s="23"/>
      <c r="O485" s="23"/>
      <c r="P485" s="23"/>
    </row>
    <row r="486" spans="10:16" x14ac:dyDescent="0.25">
      <c r="J486" s="117"/>
      <c r="K486" s="117"/>
      <c r="L486" s="117"/>
      <c r="M486" s="117"/>
      <c r="N486" s="23"/>
      <c r="O486" s="23"/>
      <c r="P486" s="23"/>
    </row>
    <row r="487" spans="10:16" x14ac:dyDescent="0.25">
      <c r="J487" s="117"/>
      <c r="K487" s="117"/>
      <c r="L487" s="117"/>
      <c r="M487" s="117"/>
      <c r="N487" s="23"/>
      <c r="O487" s="23"/>
      <c r="P487" s="23"/>
    </row>
    <row r="488" spans="10:16" x14ac:dyDescent="0.25">
      <c r="J488" s="117"/>
      <c r="K488" s="117"/>
      <c r="L488" s="117"/>
      <c r="M488" s="117"/>
      <c r="N488" s="23"/>
      <c r="O488" s="23"/>
      <c r="P488" s="23"/>
    </row>
    <row r="489" spans="10:16" x14ac:dyDescent="0.25">
      <c r="J489" s="117"/>
      <c r="K489" s="117"/>
      <c r="L489" s="117"/>
      <c r="M489" s="117"/>
      <c r="N489" s="23"/>
      <c r="O489" s="23"/>
      <c r="P489" s="23"/>
    </row>
    <row r="490" spans="10:16" x14ac:dyDescent="0.25">
      <c r="J490" s="117"/>
      <c r="K490" s="117"/>
      <c r="L490" s="117"/>
      <c r="M490" s="117"/>
      <c r="N490" s="23"/>
      <c r="O490" s="23"/>
      <c r="P490" s="23"/>
    </row>
    <row r="491" spans="10:16" x14ac:dyDescent="0.25">
      <c r="J491" s="117"/>
      <c r="K491" s="117"/>
      <c r="L491" s="117"/>
      <c r="M491" s="117"/>
      <c r="N491" s="23"/>
      <c r="O491" s="23"/>
      <c r="P491" s="23"/>
    </row>
    <row r="492" spans="10:16" x14ac:dyDescent="0.25">
      <c r="J492" s="117"/>
      <c r="K492" s="117"/>
      <c r="L492" s="117"/>
      <c r="M492" s="117"/>
      <c r="N492" s="23"/>
      <c r="O492" s="23"/>
      <c r="P492" s="23"/>
    </row>
    <row r="493" spans="10:16" x14ac:dyDescent="0.25">
      <c r="J493" s="117"/>
      <c r="K493" s="117"/>
      <c r="L493" s="117"/>
      <c r="M493" s="117"/>
      <c r="N493" s="23"/>
      <c r="O493" s="23"/>
      <c r="P493" s="23"/>
    </row>
    <row r="494" spans="10:16" x14ac:dyDescent="0.25">
      <c r="J494" s="117"/>
      <c r="K494" s="117"/>
      <c r="L494" s="117"/>
      <c r="M494" s="117"/>
      <c r="N494" s="23"/>
      <c r="O494" s="23"/>
      <c r="P494" s="23"/>
    </row>
    <row r="495" spans="10:16" x14ac:dyDescent="0.25">
      <c r="J495" s="117"/>
      <c r="K495" s="117"/>
      <c r="L495" s="117"/>
      <c r="M495" s="117"/>
      <c r="N495" s="23"/>
      <c r="O495" s="23"/>
      <c r="P495" s="23"/>
    </row>
    <row r="496" spans="10:16" x14ac:dyDescent="0.25">
      <c r="J496" s="117"/>
      <c r="K496" s="117"/>
      <c r="L496" s="117"/>
      <c r="M496" s="117"/>
      <c r="N496" s="23"/>
      <c r="O496" s="23"/>
      <c r="P496" s="23"/>
    </row>
    <row r="497" spans="10:16" x14ac:dyDescent="0.25">
      <c r="J497" s="117"/>
      <c r="K497" s="117"/>
      <c r="L497" s="117"/>
      <c r="M497" s="117"/>
      <c r="N497" s="23"/>
      <c r="O497" s="23"/>
      <c r="P497" s="23"/>
    </row>
    <row r="498" spans="10:16" x14ac:dyDescent="0.25">
      <c r="J498" s="117"/>
      <c r="K498" s="117"/>
      <c r="L498" s="117"/>
      <c r="M498" s="117"/>
      <c r="N498" s="23"/>
      <c r="O498" s="23"/>
      <c r="P498" s="23"/>
    </row>
    <row r="499" spans="10:16" x14ac:dyDescent="0.25">
      <c r="J499" s="117"/>
      <c r="K499" s="117"/>
      <c r="L499" s="117"/>
      <c r="M499" s="117"/>
      <c r="N499" s="23"/>
      <c r="O499" s="23"/>
      <c r="P499" s="23"/>
    </row>
    <row r="500" spans="10:16" x14ac:dyDescent="0.25">
      <c r="J500" s="117"/>
      <c r="K500" s="117"/>
      <c r="L500" s="117"/>
      <c r="M500" s="117"/>
      <c r="N500" s="23"/>
      <c r="O500" s="23"/>
      <c r="P500" s="23"/>
    </row>
    <row r="501" spans="10:16" x14ac:dyDescent="0.25">
      <c r="J501" s="117"/>
      <c r="K501" s="117"/>
      <c r="L501" s="117"/>
      <c r="M501" s="117"/>
      <c r="N501" s="23"/>
      <c r="O501" s="23"/>
      <c r="P501" s="23"/>
    </row>
    <row r="502" spans="10:16" x14ac:dyDescent="0.25">
      <c r="J502" s="117"/>
      <c r="K502" s="117"/>
      <c r="L502" s="117"/>
      <c r="M502" s="117"/>
      <c r="N502" s="23"/>
      <c r="O502" s="23"/>
      <c r="P502" s="23"/>
    </row>
    <row r="503" spans="10:16" x14ac:dyDescent="0.25">
      <c r="J503" s="117"/>
      <c r="K503" s="117"/>
      <c r="L503" s="117"/>
      <c r="M503" s="117"/>
      <c r="N503" s="23"/>
      <c r="O503" s="23"/>
      <c r="P503" s="23"/>
    </row>
    <row r="504" spans="10:16" x14ac:dyDescent="0.25">
      <c r="J504" s="117"/>
      <c r="K504" s="117"/>
      <c r="L504" s="117"/>
      <c r="M504" s="117"/>
      <c r="N504" s="23"/>
      <c r="O504" s="23"/>
      <c r="P504" s="23"/>
    </row>
    <row r="505" spans="10:16" x14ac:dyDescent="0.25">
      <c r="J505" s="117"/>
      <c r="K505" s="117"/>
      <c r="L505" s="117"/>
      <c r="M505" s="117"/>
      <c r="N505" s="23"/>
      <c r="O505" s="23"/>
      <c r="P505" s="23"/>
    </row>
    <row r="506" spans="10:16" x14ac:dyDescent="0.25">
      <c r="J506" s="117"/>
      <c r="K506" s="117"/>
      <c r="L506" s="117"/>
      <c r="M506" s="117"/>
      <c r="N506" s="23"/>
      <c r="O506" s="23"/>
      <c r="P506" s="23"/>
    </row>
    <row r="507" spans="10:16" x14ac:dyDescent="0.25">
      <c r="J507" s="117"/>
      <c r="K507" s="117"/>
      <c r="L507" s="117"/>
      <c r="M507" s="117"/>
      <c r="N507" s="23"/>
      <c r="O507" s="23"/>
      <c r="P507" s="23"/>
    </row>
    <row r="508" spans="10:16" x14ac:dyDescent="0.25">
      <c r="J508" s="117"/>
      <c r="K508" s="117"/>
      <c r="L508" s="117"/>
      <c r="M508" s="117"/>
      <c r="N508" s="23"/>
      <c r="O508" s="23"/>
      <c r="P508" s="23"/>
    </row>
    <row r="509" spans="10:16" x14ac:dyDescent="0.25">
      <c r="J509" s="117"/>
      <c r="K509" s="117"/>
      <c r="L509" s="117"/>
      <c r="M509" s="117"/>
      <c r="N509" s="23"/>
      <c r="O509" s="23"/>
      <c r="P509" s="23"/>
    </row>
    <row r="510" spans="10:16" x14ac:dyDescent="0.25">
      <c r="J510" s="117"/>
      <c r="K510" s="117"/>
      <c r="L510" s="117"/>
      <c r="M510" s="117"/>
      <c r="N510" s="23"/>
      <c r="O510" s="23"/>
      <c r="P510" s="23"/>
    </row>
    <row r="511" spans="10:16" x14ac:dyDescent="0.25">
      <c r="J511" s="117"/>
      <c r="K511" s="117"/>
      <c r="L511" s="117"/>
      <c r="M511" s="117"/>
      <c r="N511" s="23"/>
      <c r="O511" s="23"/>
      <c r="P511" s="23"/>
    </row>
    <row r="512" spans="10:16" x14ac:dyDescent="0.25">
      <c r="J512" s="117"/>
      <c r="K512" s="117"/>
      <c r="L512" s="117"/>
      <c r="M512" s="117"/>
      <c r="N512" s="23"/>
      <c r="O512" s="23"/>
      <c r="P512" s="23"/>
    </row>
    <row r="513" spans="10:16" x14ac:dyDescent="0.25">
      <c r="J513" s="117"/>
      <c r="K513" s="117"/>
      <c r="L513" s="117"/>
      <c r="M513" s="117"/>
      <c r="N513" s="23"/>
      <c r="O513" s="23"/>
      <c r="P513" s="23"/>
    </row>
    <row r="514" spans="10:16" x14ac:dyDescent="0.25">
      <c r="J514" s="117"/>
      <c r="K514" s="117"/>
      <c r="L514" s="117"/>
      <c r="M514" s="117"/>
      <c r="N514" s="23"/>
      <c r="O514" s="23"/>
      <c r="P514" s="23"/>
    </row>
    <row r="515" spans="10:16" x14ac:dyDescent="0.25">
      <c r="J515" s="117"/>
      <c r="K515" s="117"/>
      <c r="L515" s="117"/>
      <c r="M515" s="117"/>
      <c r="N515" s="23"/>
      <c r="O515" s="23"/>
      <c r="P515" s="23"/>
    </row>
    <row r="516" spans="10:16" x14ac:dyDescent="0.25">
      <c r="J516" s="117"/>
      <c r="K516" s="117"/>
      <c r="L516" s="117"/>
      <c r="M516" s="117"/>
      <c r="N516" s="23"/>
      <c r="O516" s="23"/>
      <c r="P516" s="23"/>
    </row>
    <row r="517" spans="10:16" x14ac:dyDescent="0.25">
      <c r="J517" s="117"/>
      <c r="K517" s="117"/>
      <c r="L517" s="117"/>
      <c r="M517" s="117"/>
      <c r="N517" s="23"/>
      <c r="O517" s="23"/>
      <c r="P517" s="23"/>
    </row>
    <row r="518" spans="10:16" x14ac:dyDescent="0.25">
      <c r="J518" s="117"/>
      <c r="K518" s="117"/>
      <c r="L518" s="117"/>
      <c r="M518" s="117"/>
      <c r="N518" s="23"/>
      <c r="O518" s="23"/>
      <c r="P518" s="23"/>
    </row>
    <row r="519" spans="10:16" x14ac:dyDescent="0.25">
      <c r="J519" s="117"/>
      <c r="K519" s="117"/>
      <c r="L519" s="117"/>
      <c r="M519" s="117"/>
      <c r="N519" s="23"/>
      <c r="O519" s="23"/>
      <c r="P519" s="23"/>
    </row>
    <row r="520" spans="10:16" x14ac:dyDescent="0.25">
      <c r="J520" s="117"/>
      <c r="K520" s="117"/>
      <c r="L520" s="117"/>
      <c r="M520" s="117"/>
      <c r="N520" s="23"/>
      <c r="O520" s="23"/>
      <c r="P520" s="23"/>
    </row>
    <row r="521" spans="10:16" x14ac:dyDescent="0.25">
      <c r="J521" s="117"/>
      <c r="K521" s="117"/>
      <c r="L521" s="117"/>
      <c r="M521" s="117"/>
      <c r="N521" s="23"/>
      <c r="O521" s="23"/>
      <c r="P521" s="23"/>
    </row>
    <row r="522" spans="10:16" x14ac:dyDescent="0.25">
      <c r="J522" s="117"/>
      <c r="K522" s="117"/>
      <c r="L522" s="117"/>
      <c r="M522" s="117"/>
      <c r="N522" s="23"/>
      <c r="O522" s="23"/>
      <c r="P522" s="23"/>
    </row>
    <row r="523" spans="10:16" x14ac:dyDescent="0.25">
      <c r="J523" s="117"/>
      <c r="K523" s="117"/>
      <c r="L523" s="117"/>
      <c r="M523" s="117"/>
      <c r="N523" s="23"/>
      <c r="O523" s="23"/>
      <c r="P523" s="23"/>
    </row>
    <row r="524" spans="10:16" x14ac:dyDescent="0.25">
      <c r="J524" s="117"/>
      <c r="K524" s="117"/>
      <c r="L524" s="117"/>
      <c r="M524" s="117"/>
      <c r="N524" s="23"/>
      <c r="O524" s="23"/>
      <c r="P524" s="23"/>
    </row>
    <row r="525" spans="10:16" x14ac:dyDescent="0.25">
      <c r="J525" s="117"/>
      <c r="K525" s="117"/>
      <c r="L525" s="117"/>
      <c r="M525" s="117"/>
      <c r="N525" s="23"/>
      <c r="O525" s="23"/>
      <c r="P525" s="23"/>
    </row>
    <row r="526" spans="10:16" x14ac:dyDescent="0.25">
      <c r="J526" s="117"/>
      <c r="K526" s="117"/>
      <c r="L526" s="117"/>
      <c r="M526" s="117"/>
      <c r="N526" s="23"/>
      <c r="O526" s="23"/>
      <c r="P526" s="23"/>
    </row>
    <row r="527" spans="10:16" x14ac:dyDescent="0.25">
      <c r="J527" s="117"/>
      <c r="K527" s="117"/>
      <c r="L527" s="117"/>
      <c r="M527" s="117"/>
      <c r="N527" s="23"/>
      <c r="O527" s="23"/>
      <c r="P527" s="23"/>
    </row>
    <row r="528" spans="10:16" x14ac:dyDescent="0.25">
      <c r="J528" s="117"/>
      <c r="K528" s="117"/>
      <c r="L528" s="117"/>
      <c r="M528" s="117"/>
      <c r="N528" s="23"/>
      <c r="O528" s="23"/>
      <c r="P528" s="23"/>
    </row>
    <row r="529" spans="10:16" x14ac:dyDescent="0.25">
      <c r="J529" s="117"/>
      <c r="K529" s="117"/>
      <c r="L529" s="117"/>
      <c r="M529" s="117"/>
      <c r="N529" s="23"/>
      <c r="O529" s="23"/>
      <c r="P529" s="23"/>
    </row>
    <row r="530" spans="10:16" x14ac:dyDescent="0.25">
      <c r="J530" s="117"/>
      <c r="K530" s="117"/>
      <c r="L530" s="117"/>
      <c r="M530" s="117"/>
      <c r="N530" s="23"/>
      <c r="O530" s="23"/>
      <c r="P530" s="23"/>
    </row>
    <row r="531" spans="10:16" x14ac:dyDescent="0.25">
      <c r="J531" s="117"/>
      <c r="K531" s="117"/>
      <c r="L531" s="117"/>
      <c r="M531" s="117"/>
      <c r="N531" s="23"/>
      <c r="O531" s="23"/>
      <c r="P531" s="23"/>
    </row>
    <row r="532" spans="10:16" x14ac:dyDescent="0.25">
      <c r="J532" s="117"/>
      <c r="K532" s="117"/>
      <c r="L532" s="117"/>
      <c r="M532" s="117"/>
      <c r="N532" s="23"/>
      <c r="O532" s="23"/>
      <c r="P532" s="23"/>
    </row>
    <row r="533" spans="10:16" x14ac:dyDescent="0.25">
      <c r="J533" s="117"/>
      <c r="K533" s="117"/>
      <c r="L533" s="117"/>
      <c r="M533" s="117"/>
      <c r="N533" s="23"/>
      <c r="O533" s="23"/>
      <c r="P533" s="23"/>
    </row>
    <row r="534" spans="10:16" x14ac:dyDescent="0.25">
      <c r="J534" s="117"/>
      <c r="K534" s="117"/>
      <c r="L534" s="117"/>
      <c r="M534" s="117"/>
      <c r="N534" s="23"/>
      <c r="O534" s="23"/>
      <c r="P534" s="23"/>
    </row>
    <row r="535" spans="10:16" x14ac:dyDescent="0.25">
      <c r="J535" s="117"/>
      <c r="K535" s="117"/>
      <c r="L535" s="117"/>
      <c r="M535" s="117"/>
      <c r="N535" s="23"/>
      <c r="O535" s="23"/>
      <c r="P535" s="23"/>
    </row>
    <row r="536" spans="10:16" x14ac:dyDescent="0.25">
      <c r="J536" s="117"/>
      <c r="K536" s="117"/>
      <c r="L536" s="117"/>
      <c r="M536" s="117"/>
      <c r="N536" s="23"/>
      <c r="O536" s="23"/>
      <c r="P536" s="23"/>
    </row>
    <row r="537" spans="10:16" x14ac:dyDescent="0.25">
      <c r="J537" s="117"/>
      <c r="K537" s="117"/>
      <c r="L537" s="117"/>
      <c r="M537" s="117"/>
      <c r="N537" s="23"/>
      <c r="O537" s="23"/>
      <c r="P537" s="23"/>
    </row>
    <row r="538" spans="10:16" x14ac:dyDescent="0.25">
      <c r="J538" s="117"/>
      <c r="K538" s="117"/>
      <c r="L538" s="117"/>
      <c r="M538" s="117"/>
      <c r="N538" s="23"/>
      <c r="O538" s="23"/>
      <c r="P538" s="23"/>
    </row>
    <row r="539" spans="10:16" x14ac:dyDescent="0.25">
      <c r="J539" s="117"/>
      <c r="K539" s="117"/>
      <c r="L539" s="117"/>
      <c r="M539" s="117"/>
      <c r="N539" s="23"/>
      <c r="O539" s="23"/>
      <c r="P539" s="23"/>
    </row>
    <row r="540" spans="10:16" x14ac:dyDescent="0.25">
      <c r="J540" s="117"/>
      <c r="K540" s="117"/>
      <c r="L540" s="117"/>
      <c r="M540" s="117"/>
      <c r="N540" s="23"/>
      <c r="O540" s="23"/>
      <c r="P540" s="23"/>
    </row>
    <row r="541" spans="10:16" x14ac:dyDescent="0.25">
      <c r="J541" s="117"/>
      <c r="K541" s="117"/>
      <c r="L541" s="117"/>
      <c r="M541" s="117"/>
      <c r="N541" s="23"/>
      <c r="O541" s="23"/>
      <c r="P541" s="23"/>
    </row>
    <row r="542" spans="10:16" x14ac:dyDescent="0.25">
      <c r="J542" s="117"/>
      <c r="K542" s="117"/>
      <c r="L542" s="117"/>
      <c r="M542" s="117"/>
      <c r="N542" s="23"/>
      <c r="O542" s="23"/>
      <c r="P542" s="23"/>
    </row>
    <row r="543" spans="10:16" x14ac:dyDescent="0.25">
      <c r="J543" s="117"/>
      <c r="K543" s="117"/>
      <c r="L543" s="117"/>
      <c r="M543" s="117"/>
      <c r="N543" s="23"/>
      <c r="O543" s="23"/>
      <c r="P543" s="23"/>
    </row>
    <row r="544" spans="10:16" x14ac:dyDescent="0.25">
      <c r="J544" s="117"/>
      <c r="K544" s="117"/>
      <c r="L544" s="117"/>
      <c r="M544" s="117"/>
      <c r="N544" s="23"/>
      <c r="O544" s="23"/>
      <c r="P544" s="23"/>
    </row>
    <row r="545" spans="10:16" x14ac:dyDescent="0.25">
      <c r="J545" s="117"/>
      <c r="K545" s="117"/>
      <c r="L545" s="117"/>
      <c r="M545" s="117"/>
      <c r="N545" s="23"/>
      <c r="O545" s="23"/>
      <c r="P545" s="23"/>
    </row>
    <row r="546" spans="10:16" x14ac:dyDescent="0.25">
      <c r="J546" s="117"/>
      <c r="K546" s="117"/>
      <c r="L546" s="117"/>
      <c r="M546" s="117"/>
      <c r="N546" s="23"/>
      <c r="O546" s="23"/>
      <c r="P546" s="23"/>
    </row>
    <row r="547" spans="10:16" x14ac:dyDescent="0.25">
      <c r="J547" s="117"/>
      <c r="K547" s="117"/>
      <c r="L547" s="117"/>
      <c r="M547" s="117"/>
      <c r="N547" s="23"/>
      <c r="O547" s="23"/>
      <c r="P547" s="23"/>
    </row>
    <row r="548" spans="10:16" x14ac:dyDescent="0.25">
      <c r="J548" s="117"/>
      <c r="K548" s="117"/>
      <c r="L548" s="117"/>
      <c r="M548" s="117"/>
      <c r="N548" s="23"/>
      <c r="O548" s="23"/>
      <c r="P548" s="23"/>
    </row>
    <row r="549" spans="10:16" x14ac:dyDescent="0.25">
      <c r="J549" s="117"/>
      <c r="K549" s="117"/>
      <c r="L549" s="117"/>
      <c r="M549" s="117"/>
      <c r="N549" s="23"/>
      <c r="O549" s="23"/>
      <c r="P549" s="23"/>
    </row>
    <row r="550" spans="10:16" x14ac:dyDescent="0.25">
      <c r="J550" s="117"/>
      <c r="K550" s="117"/>
      <c r="L550" s="117"/>
      <c r="M550" s="117"/>
      <c r="N550" s="23"/>
      <c r="O550" s="23"/>
      <c r="P550" s="23"/>
    </row>
    <row r="551" spans="10:16" x14ac:dyDescent="0.25">
      <c r="J551" s="117"/>
      <c r="K551" s="117"/>
      <c r="L551" s="117"/>
      <c r="M551" s="117"/>
      <c r="N551" s="23"/>
      <c r="O551" s="23"/>
      <c r="P551" s="23"/>
    </row>
    <row r="552" spans="10:16" x14ac:dyDescent="0.25">
      <c r="J552" s="117"/>
      <c r="K552" s="117"/>
      <c r="L552" s="117"/>
      <c r="M552" s="117"/>
      <c r="N552" s="23"/>
      <c r="O552" s="23"/>
      <c r="P552" s="23"/>
    </row>
    <row r="553" spans="10:16" x14ac:dyDescent="0.25">
      <c r="J553" s="117"/>
      <c r="K553" s="117"/>
      <c r="L553" s="117"/>
      <c r="M553" s="117"/>
      <c r="N553" s="23"/>
      <c r="O553" s="23"/>
      <c r="P553" s="23"/>
    </row>
    <row r="554" spans="10:16" x14ac:dyDescent="0.25">
      <c r="J554" s="117"/>
      <c r="K554" s="117"/>
      <c r="L554" s="117"/>
      <c r="M554" s="117"/>
      <c r="N554" s="23"/>
      <c r="O554" s="23"/>
      <c r="P554" s="23"/>
    </row>
    <row r="555" spans="10:16" x14ac:dyDescent="0.25">
      <c r="J555" s="117"/>
      <c r="K555" s="117"/>
      <c r="L555" s="117"/>
      <c r="M555" s="117"/>
      <c r="N555" s="23"/>
      <c r="O555" s="23"/>
      <c r="P555" s="23"/>
    </row>
    <row r="556" spans="10:16" x14ac:dyDescent="0.25">
      <c r="J556" s="117"/>
      <c r="K556" s="117"/>
      <c r="L556" s="117"/>
      <c r="M556" s="117"/>
      <c r="N556" s="23"/>
      <c r="O556" s="23"/>
      <c r="P556" s="23"/>
    </row>
    <row r="557" spans="10:16" x14ac:dyDescent="0.25">
      <c r="J557" s="117"/>
      <c r="K557" s="117"/>
      <c r="L557" s="117"/>
      <c r="M557" s="117"/>
      <c r="N557" s="23"/>
      <c r="O557" s="23"/>
      <c r="P557" s="23"/>
    </row>
    <row r="558" spans="10:16" x14ac:dyDescent="0.25">
      <c r="J558" s="117"/>
      <c r="K558" s="117"/>
      <c r="L558" s="117"/>
      <c r="M558" s="117"/>
      <c r="N558" s="23"/>
      <c r="O558" s="23"/>
      <c r="P558" s="23"/>
    </row>
    <row r="559" spans="10:16" x14ac:dyDescent="0.25">
      <c r="J559" s="117"/>
      <c r="K559" s="117"/>
      <c r="L559" s="117"/>
      <c r="M559" s="117"/>
      <c r="N559" s="23"/>
      <c r="O559" s="23"/>
      <c r="P559" s="23"/>
    </row>
    <row r="560" spans="10:16" x14ac:dyDescent="0.25">
      <c r="J560" s="117"/>
      <c r="K560" s="117"/>
      <c r="L560" s="117"/>
      <c r="M560" s="117"/>
      <c r="N560" s="23"/>
      <c r="O560" s="23"/>
      <c r="P560" s="23"/>
    </row>
    <row r="561" spans="10:16" x14ac:dyDescent="0.25">
      <c r="J561" s="117"/>
      <c r="K561" s="117"/>
      <c r="L561" s="117"/>
      <c r="M561" s="117"/>
      <c r="N561" s="23"/>
      <c r="O561" s="23"/>
      <c r="P561" s="23"/>
    </row>
    <row r="562" spans="10:16" x14ac:dyDescent="0.25">
      <c r="J562" s="117"/>
      <c r="K562" s="117"/>
      <c r="L562" s="117"/>
      <c r="M562" s="117"/>
      <c r="N562" s="23"/>
      <c r="O562" s="23"/>
      <c r="P562" s="23"/>
    </row>
    <row r="563" spans="10:16" x14ac:dyDescent="0.25">
      <c r="J563" s="117"/>
      <c r="K563" s="117"/>
      <c r="L563" s="117"/>
      <c r="M563" s="117"/>
      <c r="N563" s="23"/>
      <c r="O563" s="23"/>
      <c r="P563" s="23"/>
    </row>
    <row r="564" spans="10:16" x14ac:dyDescent="0.25">
      <c r="J564" s="117"/>
      <c r="K564" s="117"/>
      <c r="L564" s="117"/>
      <c r="M564" s="117"/>
      <c r="N564" s="23"/>
      <c r="O564" s="23"/>
      <c r="P564" s="23"/>
    </row>
    <row r="565" spans="10:16" x14ac:dyDescent="0.25">
      <c r="J565" s="117"/>
      <c r="K565" s="117"/>
      <c r="L565" s="117"/>
      <c r="M565" s="117"/>
      <c r="N565" s="23"/>
      <c r="O565" s="23"/>
      <c r="P565" s="23"/>
    </row>
    <row r="566" spans="10:16" x14ac:dyDescent="0.25">
      <c r="J566" s="117"/>
      <c r="K566" s="117"/>
      <c r="L566" s="117"/>
      <c r="M566" s="117"/>
      <c r="N566" s="23"/>
      <c r="O566" s="23"/>
      <c r="P566" s="23"/>
    </row>
    <row r="567" spans="10:16" x14ac:dyDescent="0.25">
      <c r="J567" s="117"/>
      <c r="K567" s="117"/>
      <c r="L567" s="117"/>
      <c r="M567" s="117"/>
      <c r="N567" s="23"/>
      <c r="O567" s="23"/>
      <c r="P567" s="23"/>
    </row>
    <row r="568" spans="10:16" x14ac:dyDescent="0.25">
      <c r="J568" s="117"/>
      <c r="K568" s="117"/>
      <c r="L568" s="117"/>
      <c r="M568" s="117"/>
      <c r="N568" s="23"/>
      <c r="O568" s="23"/>
      <c r="P568" s="23"/>
    </row>
    <row r="569" spans="10:16" x14ac:dyDescent="0.25">
      <c r="J569" s="117"/>
      <c r="K569" s="117"/>
      <c r="L569" s="117"/>
      <c r="M569" s="117"/>
      <c r="N569" s="23"/>
      <c r="O569" s="23"/>
      <c r="P569" s="23"/>
    </row>
    <row r="570" spans="10:16" x14ac:dyDescent="0.25">
      <c r="J570" s="117"/>
      <c r="K570" s="117"/>
      <c r="L570" s="117"/>
      <c r="M570" s="117"/>
      <c r="N570" s="23"/>
      <c r="O570" s="23"/>
      <c r="P570" s="23"/>
    </row>
    <row r="571" spans="10:16" x14ac:dyDescent="0.25">
      <c r="J571" s="117"/>
      <c r="K571" s="117"/>
      <c r="L571" s="117"/>
      <c r="M571" s="117"/>
      <c r="N571" s="23"/>
      <c r="O571" s="23"/>
      <c r="P571" s="23"/>
    </row>
    <row r="572" spans="10:16" x14ac:dyDescent="0.25">
      <c r="J572" s="117"/>
      <c r="K572" s="117"/>
      <c r="L572" s="117"/>
      <c r="M572" s="117"/>
      <c r="N572" s="23"/>
      <c r="O572" s="23"/>
      <c r="P572" s="23"/>
    </row>
    <row r="573" spans="10:16" x14ac:dyDescent="0.25">
      <c r="J573" s="117"/>
      <c r="K573" s="117"/>
      <c r="L573" s="117"/>
      <c r="M573" s="117"/>
      <c r="N573" s="23"/>
      <c r="O573" s="23"/>
      <c r="P573" s="23"/>
    </row>
    <row r="574" spans="10:16" x14ac:dyDescent="0.25">
      <c r="J574" s="117"/>
      <c r="K574" s="117"/>
      <c r="L574" s="117"/>
      <c r="M574" s="117"/>
      <c r="N574" s="23"/>
      <c r="O574" s="23"/>
      <c r="P574" s="23"/>
    </row>
    <row r="575" spans="10:16" x14ac:dyDescent="0.25">
      <c r="J575" s="117"/>
      <c r="K575" s="117"/>
      <c r="L575" s="117"/>
      <c r="M575" s="117"/>
      <c r="N575" s="23"/>
      <c r="O575" s="23"/>
      <c r="P575" s="23"/>
    </row>
    <row r="576" spans="10:16" x14ac:dyDescent="0.25">
      <c r="J576" s="117"/>
      <c r="K576" s="117"/>
      <c r="L576" s="117"/>
      <c r="M576" s="117"/>
      <c r="N576" s="23"/>
      <c r="O576" s="23"/>
      <c r="P576" s="23"/>
    </row>
    <row r="577" spans="10:16" x14ac:dyDescent="0.25">
      <c r="J577" s="117"/>
      <c r="K577" s="117"/>
      <c r="L577" s="117"/>
      <c r="M577" s="117"/>
      <c r="N577" s="23"/>
      <c r="O577" s="23"/>
      <c r="P577" s="23"/>
    </row>
    <row r="578" spans="10:16" x14ac:dyDescent="0.25">
      <c r="J578" s="117"/>
      <c r="K578" s="117"/>
      <c r="L578" s="117"/>
      <c r="M578" s="117"/>
      <c r="N578" s="23"/>
      <c r="O578" s="23"/>
      <c r="P578" s="23"/>
    </row>
    <row r="579" spans="10:16" x14ac:dyDescent="0.25">
      <c r="J579" s="117"/>
      <c r="K579" s="117"/>
      <c r="L579" s="117"/>
      <c r="M579" s="117"/>
      <c r="N579" s="23"/>
      <c r="O579" s="23"/>
      <c r="P579" s="23"/>
    </row>
    <row r="580" spans="10:16" x14ac:dyDescent="0.25">
      <c r="J580" s="117"/>
      <c r="K580" s="117"/>
      <c r="L580" s="117"/>
      <c r="M580" s="117"/>
      <c r="N580" s="23"/>
      <c r="O580" s="23"/>
      <c r="P580" s="23"/>
    </row>
    <row r="581" spans="10:16" x14ac:dyDescent="0.25">
      <c r="J581" s="117"/>
      <c r="K581" s="117"/>
      <c r="L581" s="117"/>
      <c r="M581" s="117"/>
      <c r="N581" s="23"/>
      <c r="O581" s="23"/>
      <c r="P581" s="23"/>
    </row>
    <row r="582" spans="10:16" x14ac:dyDescent="0.25">
      <c r="J582" s="117"/>
      <c r="K582" s="117"/>
      <c r="L582" s="117"/>
      <c r="M582" s="117"/>
      <c r="N582" s="23"/>
      <c r="O582" s="23"/>
      <c r="P582" s="23"/>
    </row>
    <row r="583" spans="10:16" x14ac:dyDescent="0.25">
      <c r="J583" s="117"/>
      <c r="K583" s="117"/>
      <c r="L583" s="117"/>
      <c r="M583" s="117"/>
      <c r="N583" s="23"/>
      <c r="O583" s="23"/>
      <c r="P583" s="23"/>
    </row>
    <row r="584" spans="10:16" x14ac:dyDescent="0.25">
      <c r="J584" s="117"/>
      <c r="K584" s="117"/>
      <c r="L584" s="117"/>
      <c r="M584" s="117"/>
      <c r="N584" s="23"/>
      <c r="O584" s="23"/>
      <c r="P584" s="23"/>
    </row>
    <row r="585" spans="10:16" x14ac:dyDescent="0.25">
      <c r="J585" s="117"/>
      <c r="K585" s="117"/>
      <c r="L585" s="117"/>
      <c r="M585" s="117"/>
      <c r="N585" s="23"/>
      <c r="O585" s="23"/>
      <c r="P585" s="23"/>
    </row>
    <row r="586" spans="10:16" x14ac:dyDescent="0.25">
      <c r="J586" s="117"/>
      <c r="K586" s="117"/>
      <c r="L586" s="117"/>
      <c r="M586" s="117"/>
      <c r="N586" s="23"/>
      <c r="O586" s="23"/>
      <c r="P586" s="23"/>
    </row>
    <row r="587" spans="10:16" x14ac:dyDescent="0.25">
      <c r="J587" s="117"/>
      <c r="K587" s="117"/>
      <c r="L587" s="117"/>
      <c r="M587" s="117"/>
      <c r="N587" s="23"/>
      <c r="O587" s="23"/>
      <c r="P587" s="23"/>
    </row>
    <row r="588" spans="10:16" x14ac:dyDescent="0.25">
      <c r="J588" s="117"/>
      <c r="K588" s="117"/>
      <c r="L588" s="117"/>
      <c r="M588" s="117"/>
      <c r="N588" s="23"/>
      <c r="O588" s="23"/>
      <c r="P588" s="23"/>
    </row>
    <row r="589" spans="10:16" x14ac:dyDescent="0.25">
      <c r="J589" s="117"/>
      <c r="K589" s="117"/>
      <c r="L589" s="117"/>
      <c r="M589" s="117"/>
      <c r="N589" s="23"/>
      <c r="O589" s="23"/>
      <c r="P589" s="23"/>
    </row>
    <row r="590" spans="10:16" x14ac:dyDescent="0.25">
      <c r="J590" s="117"/>
      <c r="K590" s="117"/>
      <c r="L590" s="117"/>
      <c r="M590" s="117"/>
      <c r="N590" s="23"/>
      <c r="O590" s="23"/>
      <c r="P590" s="23"/>
    </row>
    <row r="591" spans="10:16" x14ac:dyDescent="0.25">
      <c r="J591" s="117"/>
      <c r="K591" s="117"/>
      <c r="L591" s="117"/>
      <c r="M591" s="117"/>
      <c r="N591" s="23"/>
      <c r="O591" s="23"/>
      <c r="P591" s="23"/>
    </row>
    <row r="592" spans="10:16" x14ac:dyDescent="0.25">
      <c r="J592" s="117"/>
      <c r="K592" s="117"/>
      <c r="L592" s="117"/>
      <c r="M592" s="117"/>
      <c r="N592" s="23"/>
      <c r="O592" s="23"/>
      <c r="P592" s="23"/>
    </row>
    <row r="593" spans="10:16" x14ac:dyDescent="0.25">
      <c r="J593" s="117"/>
      <c r="K593" s="117"/>
      <c r="L593" s="117"/>
      <c r="M593" s="117"/>
      <c r="N593" s="23"/>
      <c r="O593" s="23"/>
      <c r="P593" s="23"/>
    </row>
    <row r="594" spans="10:16" x14ac:dyDescent="0.25">
      <c r="J594" s="117"/>
      <c r="K594" s="117"/>
      <c r="L594" s="117"/>
      <c r="M594" s="117"/>
      <c r="N594" s="23"/>
      <c r="O594" s="23"/>
      <c r="P594" s="23"/>
    </row>
    <row r="595" spans="10:16" x14ac:dyDescent="0.25">
      <c r="J595" s="117"/>
      <c r="K595" s="117"/>
      <c r="L595" s="117"/>
      <c r="M595" s="117"/>
      <c r="N595" s="23"/>
      <c r="O595" s="23"/>
      <c r="P595" s="23"/>
    </row>
    <row r="596" spans="10:16" x14ac:dyDescent="0.25">
      <c r="J596" s="117"/>
      <c r="K596" s="117"/>
      <c r="L596" s="117"/>
      <c r="M596" s="117"/>
      <c r="N596" s="23"/>
      <c r="O596" s="23"/>
      <c r="P596" s="23"/>
    </row>
    <row r="597" spans="10:16" x14ac:dyDescent="0.25">
      <c r="J597" s="117"/>
      <c r="K597" s="117"/>
      <c r="L597" s="117"/>
      <c r="M597" s="117"/>
      <c r="N597" s="23"/>
      <c r="O597" s="23"/>
      <c r="P597" s="23"/>
    </row>
    <row r="598" spans="10:16" x14ac:dyDescent="0.25">
      <c r="J598" s="117"/>
      <c r="K598" s="117"/>
      <c r="L598" s="117"/>
      <c r="M598" s="117"/>
      <c r="N598" s="23"/>
      <c r="O598" s="23"/>
      <c r="P598" s="23"/>
    </row>
    <row r="599" spans="10:16" x14ac:dyDescent="0.25">
      <c r="J599" s="117"/>
      <c r="K599" s="117"/>
      <c r="L599" s="117"/>
      <c r="M599" s="117"/>
      <c r="N599" s="23"/>
      <c r="O599" s="23"/>
      <c r="P599" s="23"/>
    </row>
    <row r="600" spans="10:16" x14ac:dyDescent="0.25">
      <c r="J600" s="117"/>
      <c r="K600" s="117"/>
      <c r="L600" s="117"/>
      <c r="M600" s="117"/>
      <c r="N600" s="23"/>
      <c r="O600" s="23"/>
      <c r="P600" s="23"/>
    </row>
    <row r="601" spans="10:16" x14ac:dyDescent="0.25">
      <c r="J601" s="117"/>
      <c r="K601" s="117"/>
      <c r="L601" s="117"/>
      <c r="M601" s="117"/>
      <c r="N601" s="23"/>
      <c r="O601" s="23"/>
      <c r="P601" s="23"/>
    </row>
    <row r="602" spans="10:16" x14ac:dyDescent="0.25">
      <c r="J602" s="117"/>
      <c r="K602" s="117"/>
      <c r="L602" s="117"/>
      <c r="M602" s="117"/>
      <c r="N602" s="23"/>
      <c r="O602" s="23"/>
      <c r="P602" s="23"/>
    </row>
    <row r="603" spans="10:16" x14ac:dyDescent="0.25">
      <c r="J603" s="117"/>
      <c r="K603" s="117"/>
      <c r="L603" s="117"/>
      <c r="M603" s="117"/>
      <c r="N603" s="23"/>
      <c r="O603" s="23"/>
      <c r="P603" s="23"/>
    </row>
    <row r="604" spans="10:16" x14ac:dyDescent="0.25">
      <c r="J604" s="117"/>
      <c r="K604" s="117"/>
      <c r="L604" s="117"/>
      <c r="M604" s="117"/>
      <c r="N604" s="23"/>
      <c r="O604" s="23"/>
      <c r="P604" s="23"/>
    </row>
    <row r="605" spans="10:16" x14ac:dyDescent="0.25">
      <c r="J605" s="117"/>
      <c r="K605" s="117"/>
      <c r="L605" s="117"/>
      <c r="M605" s="117"/>
      <c r="N605" s="23"/>
      <c r="O605" s="23"/>
      <c r="P605" s="23"/>
    </row>
    <row r="606" spans="10:16" x14ac:dyDescent="0.25">
      <c r="J606" s="117"/>
      <c r="K606" s="117"/>
      <c r="L606" s="117"/>
      <c r="M606" s="117"/>
      <c r="N606" s="23"/>
      <c r="O606" s="23"/>
      <c r="P606" s="23"/>
    </row>
    <row r="607" spans="10:16" x14ac:dyDescent="0.25">
      <c r="J607" s="117"/>
      <c r="K607" s="117"/>
      <c r="L607" s="117"/>
      <c r="M607" s="117"/>
      <c r="N607" s="23"/>
      <c r="O607" s="23"/>
      <c r="P607" s="23"/>
    </row>
    <row r="608" spans="10:16" x14ac:dyDescent="0.25">
      <c r="J608" s="117"/>
      <c r="K608" s="117"/>
      <c r="L608" s="117"/>
      <c r="M608" s="117"/>
      <c r="N608" s="23"/>
      <c r="O608" s="23"/>
      <c r="P608" s="23"/>
    </row>
    <row r="609" spans="10:16" x14ac:dyDescent="0.25">
      <c r="J609" s="117"/>
      <c r="K609" s="117"/>
      <c r="L609" s="117"/>
      <c r="M609" s="117"/>
      <c r="N609" s="23"/>
      <c r="O609" s="23"/>
      <c r="P609" s="23"/>
    </row>
    <row r="610" spans="10:16" x14ac:dyDescent="0.25">
      <c r="J610" s="117"/>
      <c r="K610" s="117"/>
      <c r="L610" s="117"/>
      <c r="M610" s="117"/>
      <c r="N610" s="23"/>
      <c r="O610" s="23"/>
      <c r="P610" s="23"/>
    </row>
    <row r="611" spans="10:16" x14ac:dyDescent="0.25">
      <c r="J611" s="117"/>
      <c r="K611" s="117"/>
      <c r="L611" s="117"/>
      <c r="M611" s="117"/>
      <c r="N611" s="23"/>
      <c r="O611" s="23"/>
      <c r="P611" s="23"/>
    </row>
    <row r="612" spans="10:16" x14ac:dyDescent="0.25">
      <c r="J612" s="117"/>
      <c r="K612" s="117"/>
      <c r="L612" s="117"/>
      <c r="M612" s="117"/>
      <c r="N612" s="23"/>
      <c r="O612" s="23"/>
      <c r="P612" s="23"/>
    </row>
    <row r="613" spans="10:16" x14ac:dyDescent="0.25">
      <c r="J613" s="117"/>
      <c r="K613" s="117"/>
      <c r="L613" s="117"/>
      <c r="M613" s="117"/>
      <c r="N613" s="23"/>
      <c r="O613" s="23"/>
      <c r="P613" s="23"/>
    </row>
    <row r="614" spans="10:16" x14ac:dyDescent="0.25">
      <c r="J614" s="117"/>
      <c r="K614" s="117"/>
      <c r="L614" s="117"/>
      <c r="M614" s="117"/>
      <c r="N614" s="23"/>
      <c r="O614" s="23"/>
      <c r="P614" s="23"/>
    </row>
    <row r="615" spans="10:16" x14ac:dyDescent="0.25">
      <c r="J615" s="117"/>
      <c r="K615" s="117"/>
      <c r="L615" s="117"/>
      <c r="M615" s="117"/>
      <c r="N615" s="23"/>
      <c r="O615" s="23"/>
      <c r="P615" s="23"/>
    </row>
    <row r="616" spans="10:16" x14ac:dyDescent="0.25">
      <c r="J616" s="117"/>
      <c r="K616" s="117"/>
      <c r="L616" s="117"/>
      <c r="M616" s="117"/>
      <c r="N616" s="23"/>
      <c r="O616" s="23"/>
      <c r="P616" s="23"/>
    </row>
    <row r="617" spans="10:16" x14ac:dyDescent="0.25">
      <c r="J617" s="117"/>
      <c r="K617" s="117"/>
      <c r="L617" s="117"/>
      <c r="M617" s="117"/>
      <c r="N617" s="23"/>
      <c r="O617" s="23"/>
      <c r="P617" s="23"/>
    </row>
    <row r="618" spans="10:16" x14ac:dyDescent="0.25">
      <c r="J618" s="117"/>
      <c r="K618" s="117"/>
      <c r="L618" s="117"/>
      <c r="M618" s="117"/>
      <c r="N618" s="23"/>
      <c r="O618" s="23"/>
      <c r="P618" s="23"/>
    </row>
    <row r="619" spans="10:16" x14ac:dyDescent="0.25">
      <c r="J619" s="117"/>
      <c r="K619" s="117"/>
      <c r="L619" s="117"/>
      <c r="M619" s="117"/>
      <c r="N619" s="23"/>
      <c r="O619" s="23"/>
      <c r="P619" s="23"/>
    </row>
    <row r="620" spans="10:16" x14ac:dyDescent="0.25">
      <c r="J620" s="117"/>
      <c r="K620" s="117"/>
      <c r="L620" s="117"/>
      <c r="M620" s="117"/>
      <c r="N620" s="23"/>
      <c r="O620" s="23"/>
      <c r="P620" s="23"/>
    </row>
    <row r="621" spans="10:16" x14ac:dyDescent="0.25">
      <c r="J621" s="117"/>
      <c r="K621" s="117"/>
      <c r="L621" s="117"/>
      <c r="M621" s="117"/>
      <c r="N621" s="23"/>
      <c r="O621" s="23"/>
      <c r="P621" s="23"/>
    </row>
    <row r="622" spans="10:16" x14ac:dyDescent="0.25">
      <c r="J622" s="117"/>
      <c r="K622" s="117"/>
      <c r="L622" s="117"/>
      <c r="M622" s="117"/>
      <c r="N622" s="23"/>
      <c r="O622" s="23"/>
      <c r="P622" s="23"/>
    </row>
    <row r="623" spans="10:16" x14ac:dyDescent="0.25">
      <c r="J623" s="117"/>
      <c r="K623" s="117"/>
      <c r="L623" s="117"/>
      <c r="M623" s="117"/>
      <c r="N623" s="23"/>
      <c r="O623" s="23"/>
      <c r="P623" s="23"/>
    </row>
    <row r="624" spans="10:16" x14ac:dyDescent="0.25">
      <c r="J624" s="117"/>
      <c r="K624" s="117"/>
      <c r="L624" s="117"/>
      <c r="M624" s="117"/>
      <c r="N624" s="23"/>
      <c r="O624" s="23"/>
      <c r="P624" s="23"/>
    </row>
    <row r="625" spans="10:16" x14ac:dyDescent="0.25">
      <c r="J625" s="117"/>
      <c r="K625" s="117"/>
      <c r="L625" s="117"/>
      <c r="M625" s="117"/>
      <c r="N625" s="23"/>
      <c r="O625" s="23"/>
      <c r="P625" s="23"/>
    </row>
    <row r="626" spans="10:16" x14ac:dyDescent="0.25">
      <c r="J626" s="117"/>
      <c r="K626" s="117"/>
      <c r="L626" s="117"/>
      <c r="M626" s="117"/>
      <c r="N626" s="23"/>
      <c r="O626" s="23"/>
      <c r="P626" s="23"/>
    </row>
    <row r="627" spans="10:16" x14ac:dyDescent="0.25">
      <c r="J627" s="117"/>
      <c r="K627" s="117"/>
      <c r="L627" s="117"/>
      <c r="M627" s="117"/>
      <c r="N627" s="23"/>
      <c r="O627" s="23"/>
      <c r="P627" s="23"/>
    </row>
    <row r="628" spans="10:16" x14ac:dyDescent="0.25">
      <c r="J628" s="117"/>
      <c r="K628" s="117"/>
      <c r="L628" s="117"/>
      <c r="M628" s="117"/>
      <c r="N628" s="23"/>
      <c r="O628" s="23"/>
      <c r="P628" s="23"/>
    </row>
    <row r="629" spans="10:16" x14ac:dyDescent="0.25">
      <c r="J629" s="117"/>
      <c r="K629" s="117"/>
      <c r="L629" s="117"/>
      <c r="M629" s="117"/>
      <c r="N629" s="23"/>
      <c r="O629" s="23"/>
      <c r="P629" s="23"/>
    </row>
    <row r="630" spans="10:16" x14ac:dyDescent="0.25">
      <c r="J630" s="117"/>
      <c r="K630" s="117"/>
      <c r="L630" s="117"/>
      <c r="M630" s="117"/>
      <c r="N630" s="23"/>
      <c r="O630" s="23"/>
      <c r="P630" s="23"/>
    </row>
    <row r="631" spans="10:16" x14ac:dyDescent="0.25">
      <c r="J631" s="117"/>
      <c r="K631" s="117"/>
      <c r="L631" s="117"/>
      <c r="M631" s="117"/>
      <c r="N631" s="23"/>
      <c r="O631" s="23"/>
      <c r="P631" s="23"/>
    </row>
    <row r="632" spans="10:16" x14ac:dyDescent="0.25">
      <c r="J632" s="117"/>
      <c r="K632" s="117"/>
      <c r="L632" s="117"/>
      <c r="M632" s="117"/>
      <c r="N632" s="23"/>
      <c r="O632" s="23"/>
      <c r="P632" s="23"/>
    </row>
    <row r="633" spans="10:16" x14ac:dyDescent="0.25">
      <c r="J633" s="117"/>
      <c r="K633" s="117"/>
      <c r="L633" s="117"/>
      <c r="M633" s="117"/>
      <c r="N633" s="23"/>
      <c r="O633" s="23"/>
      <c r="P633" s="23"/>
    </row>
    <row r="634" spans="10:16" x14ac:dyDescent="0.25">
      <c r="J634" s="117"/>
      <c r="K634" s="117"/>
      <c r="L634" s="117"/>
      <c r="M634" s="117"/>
      <c r="N634" s="23"/>
      <c r="O634" s="23"/>
      <c r="P634" s="23"/>
    </row>
    <row r="635" spans="10:16" x14ac:dyDescent="0.25">
      <c r="J635" s="117"/>
      <c r="K635" s="117"/>
      <c r="L635" s="117"/>
      <c r="M635" s="117"/>
      <c r="N635" s="23"/>
      <c r="O635" s="23"/>
      <c r="P635" s="23"/>
    </row>
    <row r="636" spans="10:16" x14ac:dyDescent="0.25">
      <c r="J636" s="117"/>
      <c r="K636" s="117"/>
      <c r="L636" s="117"/>
      <c r="M636" s="117"/>
      <c r="N636" s="23"/>
      <c r="O636" s="23"/>
      <c r="P636" s="23"/>
    </row>
    <row r="637" spans="10:16" x14ac:dyDescent="0.25">
      <c r="J637" s="117"/>
      <c r="K637" s="117"/>
      <c r="L637" s="117"/>
      <c r="M637" s="117"/>
      <c r="N637" s="23"/>
      <c r="O637" s="23"/>
      <c r="P637" s="23"/>
    </row>
    <row r="638" spans="10:16" x14ac:dyDescent="0.25">
      <c r="J638" s="117"/>
      <c r="K638" s="117"/>
      <c r="L638" s="117"/>
      <c r="M638" s="117"/>
      <c r="N638" s="23"/>
      <c r="O638" s="23"/>
      <c r="P638" s="23"/>
    </row>
    <row r="639" spans="10:16" x14ac:dyDescent="0.25">
      <c r="J639" s="117"/>
      <c r="K639" s="117"/>
      <c r="L639" s="117"/>
      <c r="M639" s="117"/>
      <c r="N639" s="23"/>
      <c r="O639" s="23"/>
      <c r="P639" s="23"/>
    </row>
    <row r="640" spans="10:16" x14ac:dyDescent="0.25">
      <c r="J640" s="117"/>
      <c r="K640" s="117"/>
      <c r="L640" s="117"/>
      <c r="M640" s="117"/>
      <c r="N640" s="23"/>
      <c r="O640" s="23"/>
      <c r="P640" s="23"/>
    </row>
    <row r="641" spans="10:16" x14ac:dyDescent="0.25">
      <c r="J641" s="117"/>
      <c r="K641" s="117"/>
      <c r="L641" s="117"/>
      <c r="M641" s="117"/>
      <c r="N641" s="23"/>
      <c r="O641" s="23"/>
      <c r="P641" s="23"/>
    </row>
    <row r="642" spans="10:16" x14ac:dyDescent="0.25">
      <c r="J642" s="117"/>
      <c r="K642" s="117"/>
      <c r="L642" s="117"/>
      <c r="M642" s="117"/>
      <c r="N642" s="23"/>
      <c r="O642" s="23"/>
      <c r="P642" s="23"/>
    </row>
    <row r="643" spans="10:16" x14ac:dyDescent="0.25">
      <c r="J643" s="117"/>
      <c r="K643" s="117"/>
      <c r="L643" s="117"/>
      <c r="M643" s="117"/>
      <c r="N643" s="23"/>
      <c r="O643" s="23"/>
      <c r="P643" s="23"/>
    </row>
    <row r="644" spans="10:16" x14ac:dyDescent="0.25">
      <c r="J644" s="117"/>
      <c r="K644" s="117"/>
      <c r="L644" s="117"/>
      <c r="M644" s="117"/>
      <c r="N644" s="23"/>
      <c r="O644" s="23"/>
      <c r="P644" s="23"/>
    </row>
    <row r="645" spans="10:16" x14ac:dyDescent="0.25">
      <c r="J645" s="117"/>
      <c r="K645" s="117"/>
      <c r="L645" s="117"/>
      <c r="M645" s="117"/>
      <c r="N645" s="23"/>
      <c r="O645" s="23"/>
      <c r="P645" s="23"/>
    </row>
    <row r="646" spans="10:16" x14ac:dyDescent="0.25">
      <c r="J646" s="117"/>
      <c r="K646" s="117"/>
      <c r="L646" s="117"/>
      <c r="M646" s="117"/>
      <c r="N646" s="23"/>
      <c r="O646" s="23"/>
      <c r="P646" s="23"/>
    </row>
    <row r="647" spans="10:16" x14ac:dyDescent="0.25">
      <c r="J647" s="117"/>
      <c r="K647" s="117"/>
      <c r="L647" s="117"/>
      <c r="M647" s="117"/>
      <c r="N647" s="23"/>
      <c r="O647" s="23"/>
      <c r="P647" s="23"/>
    </row>
    <row r="648" spans="10:16" x14ac:dyDescent="0.25">
      <c r="J648" s="117"/>
      <c r="K648" s="117"/>
      <c r="L648" s="117"/>
      <c r="M648" s="117"/>
      <c r="N648" s="23"/>
      <c r="O648" s="23"/>
      <c r="P648" s="23"/>
    </row>
    <row r="649" spans="10:16" x14ac:dyDescent="0.25">
      <c r="J649" s="117"/>
      <c r="K649" s="117"/>
      <c r="L649" s="117"/>
      <c r="M649" s="117"/>
      <c r="N649" s="23"/>
      <c r="O649" s="23"/>
      <c r="P649" s="23"/>
    </row>
    <row r="650" spans="10:16" x14ac:dyDescent="0.25">
      <c r="J650" s="117"/>
      <c r="K650" s="117"/>
      <c r="L650" s="117"/>
      <c r="M650" s="117"/>
      <c r="N650" s="23"/>
      <c r="O650" s="23"/>
      <c r="P650" s="23"/>
    </row>
    <row r="651" spans="10:16" x14ac:dyDescent="0.25">
      <c r="J651" s="117"/>
      <c r="K651" s="117"/>
      <c r="L651" s="117"/>
      <c r="M651" s="117"/>
      <c r="N651" s="23"/>
      <c r="O651" s="23"/>
      <c r="P651" s="23"/>
    </row>
    <row r="652" spans="10:16" x14ac:dyDescent="0.25">
      <c r="J652" s="117"/>
      <c r="K652" s="117"/>
      <c r="L652" s="117"/>
      <c r="M652" s="117"/>
      <c r="N652" s="23"/>
      <c r="O652" s="23"/>
      <c r="P652" s="23"/>
    </row>
    <row r="653" spans="10:16" x14ac:dyDescent="0.25">
      <c r="J653" s="117"/>
      <c r="K653" s="117"/>
      <c r="L653" s="117"/>
      <c r="M653" s="117"/>
      <c r="N653" s="23"/>
      <c r="O653" s="23"/>
      <c r="P653" s="23"/>
    </row>
    <row r="654" spans="10:16" x14ac:dyDescent="0.25">
      <c r="J654" s="117"/>
      <c r="K654" s="117"/>
      <c r="L654" s="117"/>
      <c r="M654" s="117"/>
      <c r="N654" s="23"/>
      <c r="O654" s="23"/>
      <c r="P654" s="23"/>
    </row>
    <row r="655" spans="10:16" x14ac:dyDescent="0.25">
      <c r="J655" s="117"/>
      <c r="K655" s="117"/>
      <c r="L655" s="117"/>
      <c r="M655" s="117"/>
      <c r="N655" s="23"/>
      <c r="O655" s="23"/>
      <c r="P655" s="23"/>
    </row>
    <row r="656" spans="10:16" x14ac:dyDescent="0.25">
      <c r="J656" s="117"/>
      <c r="K656" s="117"/>
      <c r="L656" s="117"/>
      <c r="M656" s="117"/>
      <c r="N656" s="23"/>
      <c r="O656" s="23"/>
      <c r="P656" s="23"/>
    </row>
    <row r="657" spans="10:16" x14ac:dyDescent="0.25">
      <c r="J657" s="117"/>
      <c r="K657" s="117"/>
      <c r="L657" s="117"/>
      <c r="M657" s="117"/>
      <c r="N657" s="23"/>
      <c r="O657" s="23"/>
      <c r="P657" s="23"/>
    </row>
    <row r="658" spans="10:16" x14ac:dyDescent="0.25">
      <c r="J658" s="117"/>
      <c r="K658" s="117"/>
      <c r="L658" s="117"/>
      <c r="M658" s="117"/>
      <c r="N658" s="23"/>
      <c r="O658" s="23"/>
      <c r="P658" s="23"/>
    </row>
    <row r="659" spans="10:16" x14ac:dyDescent="0.25">
      <c r="J659" s="117"/>
      <c r="K659" s="117"/>
      <c r="L659" s="117"/>
      <c r="M659" s="117"/>
      <c r="N659" s="23"/>
      <c r="O659" s="23"/>
      <c r="P659" s="23"/>
    </row>
    <row r="660" spans="10:16" x14ac:dyDescent="0.25">
      <c r="J660" s="117"/>
      <c r="K660" s="117"/>
      <c r="L660" s="117"/>
      <c r="M660" s="117"/>
      <c r="N660" s="23"/>
      <c r="O660" s="23"/>
      <c r="P660" s="23"/>
    </row>
    <row r="661" spans="10:16" x14ac:dyDescent="0.25">
      <c r="J661" s="117"/>
      <c r="K661" s="117"/>
      <c r="L661" s="117"/>
      <c r="M661" s="117"/>
      <c r="N661" s="23"/>
      <c r="O661" s="23"/>
      <c r="P661" s="23"/>
    </row>
    <row r="662" spans="10:16" x14ac:dyDescent="0.25">
      <c r="J662" s="117"/>
      <c r="K662" s="117"/>
      <c r="L662" s="117"/>
      <c r="M662" s="117"/>
      <c r="N662" s="23"/>
      <c r="O662" s="23"/>
      <c r="P662" s="23"/>
    </row>
    <row r="663" spans="10:16" x14ac:dyDescent="0.25">
      <c r="J663" s="117"/>
      <c r="K663" s="117"/>
      <c r="L663" s="117"/>
      <c r="M663" s="117"/>
      <c r="N663" s="23"/>
      <c r="O663" s="23"/>
      <c r="P663" s="23"/>
    </row>
    <row r="664" spans="10:16" x14ac:dyDescent="0.25">
      <c r="J664" s="117"/>
      <c r="K664" s="117"/>
      <c r="L664" s="117"/>
      <c r="M664" s="117"/>
      <c r="N664" s="23"/>
      <c r="O664" s="23"/>
      <c r="P664" s="23"/>
    </row>
    <row r="665" spans="10:16" x14ac:dyDescent="0.25">
      <c r="J665" s="117"/>
      <c r="K665" s="117"/>
      <c r="L665" s="117"/>
      <c r="M665" s="117"/>
      <c r="N665" s="23"/>
      <c r="O665" s="23"/>
      <c r="P665" s="23"/>
    </row>
    <row r="666" spans="10:16" x14ac:dyDescent="0.25">
      <c r="J666" s="117"/>
      <c r="K666" s="117"/>
      <c r="L666" s="117"/>
      <c r="M666" s="117"/>
      <c r="N666" s="23"/>
      <c r="O666" s="23"/>
      <c r="P666" s="23"/>
    </row>
    <row r="667" spans="10:16" x14ac:dyDescent="0.25">
      <c r="J667" s="117"/>
      <c r="K667" s="117"/>
      <c r="L667" s="117"/>
      <c r="M667" s="117"/>
      <c r="N667" s="23"/>
      <c r="O667" s="23"/>
      <c r="P667" s="23"/>
    </row>
    <row r="668" spans="10:16" x14ac:dyDescent="0.25">
      <c r="J668" s="117"/>
      <c r="K668" s="117"/>
      <c r="L668" s="117"/>
      <c r="M668" s="117"/>
      <c r="N668" s="23"/>
      <c r="O668" s="23"/>
      <c r="P668" s="23"/>
    </row>
    <row r="669" spans="10:16" x14ac:dyDescent="0.25">
      <c r="J669" s="117"/>
      <c r="K669" s="117"/>
      <c r="L669" s="117"/>
      <c r="M669" s="117"/>
      <c r="N669" s="23"/>
      <c r="O669" s="23"/>
      <c r="P669" s="23"/>
    </row>
    <row r="670" spans="10:16" x14ac:dyDescent="0.25">
      <c r="J670" s="117"/>
      <c r="K670" s="117"/>
      <c r="L670" s="117"/>
      <c r="M670" s="117"/>
      <c r="N670" s="23"/>
      <c r="O670" s="23"/>
      <c r="P670" s="23"/>
    </row>
    <row r="671" spans="10:16" x14ac:dyDescent="0.25">
      <c r="J671" s="117"/>
      <c r="K671" s="117"/>
      <c r="L671" s="117"/>
      <c r="M671" s="117"/>
      <c r="N671" s="23"/>
      <c r="O671" s="23"/>
      <c r="P671" s="23"/>
    </row>
    <row r="672" spans="10:16" x14ac:dyDescent="0.25">
      <c r="J672" s="117"/>
      <c r="K672" s="117"/>
      <c r="L672" s="117"/>
      <c r="M672" s="117"/>
      <c r="N672" s="23"/>
      <c r="O672" s="23"/>
      <c r="P672" s="23"/>
    </row>
    <row r="673" spans="10:16" x14ac:dyDescent="0.25">
      <c r="J673" s="117"/>
      <c r="K673" s="117"/>
      <c r="L673" s="117"/>
      <c r="M673" s="117"/>
      <c r="N673" s="23"/>
      <c r="O673" s="23"/>
      <c r="P673" s="23"/>
    </row>
    <row r="674" spans="10:16" x14ac:dyDescent="0.25">
      <c r="J674" s="117"/>
      <c r="K674" s="117"/>
      <c r="L674" s="117"/>
      <c r="M674" s="117"/>
      <c r="N674" s="23"/>
      <c r="O674" s="23"/>
      <c r="P674" s="23"/>
    </row>
    <row r="675" spans="10:16" x14ac:dyDescent="0.25">
      <c r="J675" s="117"/>
      <c r="K675" s="117"/>
      <c r="L675" s="117"/>
      <c r="M675" s="117"/>
      <c r="N675" s="23"/>
      <c r="O675" s="23"/>
      <c r="P675" s="23"/>
    </row>
    <row r="676" spans="10:16" x14ac:dyDescent="0.25">
      <c r="J676" s="117"/>
      <c r="K676" s="117"/>
      <c r="L676" s="117"/>
      <c r="M676" s="117"/>
      <c r="N676" s="23"/>
      <c r="O676" s="23"/>
      <c r="P676" s="23"/>
    </row>
    <row r="677" spans="10:16" x14ac:dyDescent="0.25">
      <c r="J677" s="117"/>
      <c r="K677" s="117"/>
      <c r="L677" s="117"/>
      <c r="M677" s="117"/>
      <c r="N677" s="23"/>
      <c r="O677" s="23"/>
      <c r="P677" s="23"/>
    </row>
    <row r="678" spans="10:16" x14ac:dyDescent="0.25">
      <c r="J678" s="117"/>
      <c r="K678" s="117"/>
      <c r="L678" s="117"/>
      <c r="M678" s="117"/>
      <c r="N678" s="23"/>
      <c r="O678" s="23"/>
      <c r="P678" s="23"/>
    </row>
    <row r="679" spans="10:16" x14ac:dyDescent="0.25">
      <c r="J679" s="117"/>
      <c r="K679" s="117"/>
      <c r="L679" s="117"/>
      <c r="M679" s="117"/>
      <c r="N679" s="23"/>
      <c r="O679" s="23"/>
      <c r="P679" s="23"/>
    </row>
    <row r="680" spans="10:16" x14ac:dyDescent="0.25">
      <c r="J680" s="117"/>
      <c r="K680" s="117"/>
      <c r="L680" s="117"/>
      <c r="M680" s="117"/>
      <c r="N680" s="23"/>
      <c r="O680" s="23"/>
      <c r="P680" s="23"/>
    </row>
    <row r="681" spans="10:16" x14ac:dyDescent="0.25">
      <c r="J681" s="117"/>
      <c r="K681" s="117"/>
      <c r="L681" s="117"/>
      <c r="M681" s="117"/>
      <c r="N681" s="23"/>
      <c r="O681" s="23"/>
      <c r="P681" s="23"/>
    </row>
    <row r="682" spans="10:16" x14ac:dyDescent="0.25">
      <c r="J682" s="117"/>
      <c r="K682" s="117"/>
      <c r="L682" s="117"/>
      <c r="M682" s="117"/>
      <c r="N682" s="23"/>
      <c r="O682" s="23"/>
      <c r="P682" s="23"/>
    </row>
    <row r="683" spans="10:16" x14ac:dyDescent="0.25">
      <c r="J683" s="117"/>
      <c r="K683" s="117"/>
      <c r="L683" s="117"/>
      <c r="M683" s="117"/>
      <c r="N683" s="23"/>
      <c r="O683" s="23"/>
      <c r="P683" s="23"/>
    </row>
    <row r="684" spans="10:16" x14ac:dyDescent="0.25">
      <c r="J684" s="117"/>
      <c r="K684" s="117"/>
      <c r="L684" s="117"/>
      <c r="M684" s="117"/>
      <c r="N684" s="23"/>
      <c r="O684" s="23"/>
      <c r="P684" s="23"/>
    </row>
    <row r="685" spans="10:16" x14ac:dyDescent="0.25">
      <c r="J685" s="117"/>
      <c r="K685" s="117"/>
      <c r="L685" s="117"/>
      <c r="M685" s="117"/>
      <c r="N685" s="23"/>
      <c r="O685" s="23"/>
      <c r="P685" s="23"/>
    </row>
    <row r="686" spans="10:16" x14ac:dyDescent="0.25">
      <c r="J686" s="117"/>
      <c r="K686" s="117"/>
      <c r="L686" s="117"/>
      <c r="M686" s="117"/>
      <c r="N686" s="23"/>
      <c r="O686" s="23"/>
      <c r="P686" s="23"/>
    </row>
    <row r="687" spans="10:16" x14ac:dyDescent="0.25">
      <c r="J687" s="117"/>
      <c r="K687" s="117"/>
      <c r="L687" s="117"/>
      <c r="M687" s="117"/>
      <c r="N687" s="23"/>
      <c r="O687" s="23"/>
      <c r="P687" s="23"/>
    </row>
    <row r="688" spans="10:16" x14ac:dyDescent="0.25">
      <c r="J688" s="117"/>
      <c r="K688" s="117"/>
      <c r="L688" s="117"/>
      <c r="M688" s="117"/>
      <c r="N688" s="23"/>
      <c r="O688" s="23"/>
      <c r="P688" s="23"/>
    </row>
    <row r="689" spans="10:16" x14ac:dyDescent="0.25">
      <c r="J689" s="117"/>
      <c r="K689" s="117"/>
      <c r="L689" s="117"/>
      <c r="M689" s="117"/>
      <c r="N689" s="23"/>
      <c r="O689" s="23"/>
      <c r="P689" s="23"/>
    </row>
    <row r="690" spans="10:16" x14ac:dyDescent="0.25">
      <c r="J690" s="117"/>
      <c r="K690" s="117"/>
      <c r="L690" s="117"/>
      <c r="M690" s="117"/>
      <c r="N690" s="23"/>
      <c r="O690" s="23"/>
      <c r="P690" s="23"/>
    </row>
    <row r="691" spans="10:16" x14ac:dyDescent="0.25">
      <c r="J691" s="117"/>
      <c r="K691" s="117"/>
      <c r="L691" s="117"/>
      <c r="M691" s="117"/>
      <c r="N691" s="23"/>
      <c r="O691" s="23"/>
      <c r="P691" s="23"/>
    </row>
    <row r="692" spans="10:16" x14ac:dyDescent="0.25">
      <c r="J692" s="117"/>
      <c r="K692" s="117"/>
      <c r="L692" s="117"/>
      <c r="M692" s="117"/>
      <c r="N692" s="23"/>
      <c r="O692" s="23"/>
      <c r="P692" s="23"/>
    </row>
    <row r="693" spans="10:16" x14ac:dyDescent="0.25">
      <c r="J693" s="117"/>
      <c r="K693" s="117"/>
      <c r="L693" s="117"/>
      <c r="M693" s="117"/>
      <c r="N693" s="23"/>
      <c r="O693" s="23"/>
      <c r="P693" s="23"/>
    </row>
    <row r="694" spans="10:16" x14ac:dyDescent="0.25">
      <c r="J694" s="117"/>
      <c r="K694" s="117"/>
      <c r="L694" s="117"/>
      <c r="M694" s="117"/>
      <c r="N694" s="23"/>
      <c r="O694" s="23"/>
      <c r="P694" s="23"/>
    </row>
    <row r="695" spans="10:16" x14ac:dyDescent="0.25">
      <c r="J695" s="117"/>
      <c r="K695" s="117"/>
      <c r="L695" s="117"/>
      <c r="M695" s="117"/>
      <c r="N695" s="23"/>
      <c r="O695" s="23"/>
      <c r="P695" s="23"/>
    </row>
    <row r="696" spans="10:16" x14ac:dyDescent="0.25">
      <c r="J696" s="117"/>
      <c r="K696" s="117"/>
      <c r="L696" s="117"/>
      <c r="M696" s="117"/>
      <c r="N696" s="23"/>
      <c r="O696" s="23"/>
      <c r="P696" s="23"/>
    </row>
    <row r="697" spans="10:16" x14ac:dyDescent="0.25">
      <c r="J697" s="117"/>
      <c r="K697" s="117"/>
      <c r="L697" s="117"/>
      <c r="M697" s="117"/>
      <c r="N697" s="23"/>
      <c r="O697" s="23"/>
      <c r="P697" s="23"/>
    </row>
    <row r="698" spans="10:16" x14ac:dyDescent="0.25">
      <c r="J698" s="117"/>
      <c r="K698" s="117"/>
      <c r="L698" s="117"/>
      <c r="M698" s="117"/>
      <c r="N698" s="23"/>
      <c r="O698" s="23"/>
      <c r="P698" s="23"/>
    </row>
    <row r="699" spans="10:16" x14ac:dyDescent="0.25">
      <c r="J699" s="117"/>
      <c r="K699" s="117"/>
      <c r="L699" s="117"/>
      <c r="M699" s="117"/>
      <c r="N699" s="23"/>
      <c r="O699" s="23"/>
      <c r="P699" s="23"/>
    </row>
    <row r="700" spans="10:16" x14ac:dyDescent="0.25">
      <c r="J700" s="117"/>
      <c r="K700" s="117"/>
      <c r="L700" s="117"/>
      <c r="M700" s="117"/>
      <c r="N700" s="23"/>
      <c r="O700" s="23"/>
      <c r="P700" s="23"/>
    </row>
    <row r="701" spans="10:16" x14ac:dyDescent="0.25">
      <c r="J701" s="117"/>
      <c r="K701" s="117"/>
      <c r="L701" s="117"/>
      <c r="M701" s="117"/>
      <c r="N701" s="23"/>
      <c r="O701" s="23"/>
      <c r="P701" s="23"/>
    </row>
    <row r="702" spans="10:16" x14ac:dyDescent="0.25">
      <c r="J702" s="117"/>
      <c r="K702" s="117"/>
      <c r="L702" s="117"/>
      <c r="M702" s="117"/>
      <c r="N702" s="23"/>
      <c r="O702" s="23"/>
      <c r="P702" s="23"/>
    </row>
    <row r="703" spans="10:16" x14ac:dyDescent="0.25">
      <c r="J703" s="117"/>
      <c r="K703" s="117"/>
      <c r="L703" s="117"/>
      <c r="M703" s="117"/>
      <c r="N703" s="23"/>
      <c r="O703" s="23"/>
      <c r="P703" s="23"/>
    </row>
    <row r="704" spans="10:16" x14ac:dyDescent="0.25">
      <c r="J704" s="117"/>
      <c r="K704" s="117"/>
      <c r="L704" s="117"/>
      <c r="M704" s="117"/>
      <c r="N704" s="23"/>
      <c r="O704" s="23"/>
      <c r="P704" s="23"/>
    </row>
    <row r="705" spans="10:16" x14ac:dyDescent="0.25">
      <c r="J705" s="117"/>
      <c r="K705" s="117"/>
      <c r="L705" s="117"/>
      <c r="M705" s="117"/>
      <c r="N705" s="23"/>
      <c r="O705" s="23"/>
      <c r="P705" s="23"/>
    </row>
    <row r="706" spans="10:16" x14ac:dyDescent="0.25">
      <c r="J706" s="117"/>
      <c r="K706" s="117"/>
      <c r="L706" s="117"/>
      <c r="M706" s="117"/>
      <c r="N706" s="23"/>
      <c r="O706" s="23"/>
      <c r="P706" s="23"/>
    </row>
    <row r="707" spans="10:16" x14ac:dyDescent="0.25">
      <c r="J707" s="117"/>
      <c r="K707" s="117"/>
      <c r="L707" s="117"/>
      <c r="M707" s="117"/>
      <c r="N707" s="23"/>
      <c r="O707" s="23"/>
      <c r="P707" s="23"/>
    </row>
    <row r="708" spans="10:16" x14ac:dyDescent="0.25">
      <c r="J708" s="117"/>
      <c r="K708" s="117"/>
      <c r="L708" s="117"/>
      <c r="M708" s="117"/>
      <c r="N708" s="23"/>
      <c r="O708" s="23"/>
      <c r="P708" s="23"/>
    </row>
    <row r="709" spans="10:16" x14ac:dyDescent="0.25">
      <c r="J709" s="117"/>
      <c r="K709" s="117"/>
      <c r="L709" s="117"/>
      <c r="M709" s="117"/>
      <c r="N709" s="23"/>
      <c r="O709" s="23"/>
      <c r="P709" s="23"/>
    </row>
    <row r="710" spans="10:16" x14ac:dyDescent="0.25">
      <c r="J710" s="117"/>
      <c r="K710" s="117"/>
      <c r="L710" s="117"/>
      <c r="M710" s="117"/>
      <c r="N710" s="23"/>
      <c r="O710" s="23"/>
      <c r="P710" s="23"/>
    </row>
    <row r="711" spans="10:16" x14ac:dyDescent="0.25">
      <c r="J711" s="117"/>
      <c r="K711" s="117"/>
      <c r="L711" s="117"/>
      <c r="M711" s="117"/>
      <c r="N711" s="23"/>
      <c r="O711" s="23"/>
      <c r="P711" s="23"/>
    </row>
    <row r="712" spans="10:16" x14ac:dyDescent="0.25">
      <c r="J712" s="117"/>
      <c r="K712" s="117"/>
      <c r="L712" s="117"/>
      <c r="M712" s="117"/>
      <c r="N712" s="23"/>
      <c r="O712" s="23"/>
      <c r="P712" s="23"/>
    </row>
    <row r="713" spans="10:16" x14ac:dyDescent="0.25">
      <c r="J713" s="117"/>
      <c r="K713" s="117"/>
      <c r="L713" s="117"/>
      <c r="M713" s="117"/>
      <c r="N713" s="23"/>
      <c r="O713" s="23"/>
      <c r="P713" s="23"/>
    </row>
    <row r="714" spans="10:16" x14ac:dyDescent="0.25">
      <c r="J714" s="117"/>
      <c r="K714" s="117"/>
      <c r="L714" s="117"/>
      <c r="M714" s="117"/>
      <c r="N714" s="23"/>
      <c r="O714" s="23"/>
      <c r="P714" s="23"/>
    </row>
    <row r="715" spans="10:16" x14ac:dyDescent="0.25">
      <c r="J715" s="117"/>
      <c r="K715" s="117"/>
      <c r="L715" s="117"/>
      <c r="M715" s="117"/>
      <c r="N715" s="23"/>
      <c r="O715" s="23"/>
      <c r="P715" s="23"/>
    </row>
    <row r="716" spans="10:16" x14ac:dyDescent="0.25">
      <c r="J716" s="117"/>
      <c r="K716" s="117"/>
      <c r="L716" s="117"/>
      <c r="M716" s="117"/>
      <c r="N716" s="23"/>
      <c r="O716" s="23"/>
      <c r="P716" s="23"/>
    </row>
    <row r="717" spans="10:16" x14ac:dyDescent="0.25">
      <c r="J717" s="117"/>
      <c r="K717" s="117"/>
      <c r="L717" s="117"/>
      <c r="M717" s="117"/>
      <c r="N717" s="23"/>
      <c r="O717" s="23"/>
      <c r="P717" s="23"/>
    </row>
    <row r="718" spans="10:16" x14ac:dyDescent="0.25">
      <c r="J718" s="117"/>
      <c r="K718" s="117"/>
      <c r="L718" s="117"/>
      <c r="M718" s="117"/>
      <c r="N718" s="23"/>
      <c r="O718" s="23"/>
      <c r="P718" s="23"/>
    </row>
    <row r="719" spans="10:16" x14ac:dyDescent="0.25">
      <c r="J719" s="117"/>
      <c r="K719" s="117"/>
      <c r="L719" s="117"/>
      <c r="M719" s="117"/>
      <c r="N719" s="23"/>
      <c r="O719" s="23"/>
      <c r="P719" s="23"/>
    </row>
    <row r="720" spans="10:16" x14ac:dyDescent="0.25">
      <c r="J720" s="117"/>
      <c r="K720" s="117"/>
      <c r="L720" s="117"/>
      <c r="M720" s="117"/>
      <c r="N720" s="23"/>
      <c r="O720" s="23"/>
      <c r="P720" s="23"/>
    </row>
    <row r="721" spans="10:16" x14ac:dyDescent="0.25">
      <c r="J721" s="117"/>
      <c r="K721" s="117"/>
      <c r="L721" s="117"/>
      <c r="M721" s="117"/>
      <c r="N721" s="23"/>
      <c r="O721" s="23"/>
      <c r="P721" s="23"/>
    </row>
    <row r="722" spans="10:16" x14ac:dyDescent="0.25">
      <c r="J722" s="117"/>
      <c r="K722" s="117"/>
      <c r="L722" s="117"/>
      <c r="M722" s="117"/>
      <c r="N722" s="23"/>
      <c r="O722" s="23"/>
      <c r="P722" s="23"/>
    </row>
    <row r="723" spans="10:16" x14ac:dyDescent="0.25">
      <c r="J723" s="117"/>
      <c r="K723" s="117"/>
      <c r="L723" s="117"/>
      <c r="M723" s="117"/>
      <c r="N723" s="23"/>
      <c r="O723" s="23"/>
      <c r="P723" s="23"/>
    </row>
    <row r="724" spans="10:16" x14ac:dyDescent="0.25">
      <c r="J724" s="117"/>
      <c r="K724" s="117"/>
      <c r="L724" s="117"/>
      <c r="M724" s="117"/>
      <c r="N724" s="23"/>
      <c r="O724" s="23"/>
      <c r="P724" s="23"/>
    </row>
    <row r="725" spans="10:16" x14ac:dyDescent="0.25">
      <c r="J725" s="117"/>
      <c r="K725" s="117"/>
      <c r="L725" s="117"/>
      <c r="M725" s="117"/>
      <c r="N725" s="23"/>
      <c r="O725" s="23"/>
      <c r="P725" s="23"/>
    </row>
    <row r="726" spans="10:16" x14ac:dyDescent="0.25">
      <c r="J726" s="117"/>
      <c r="K726" s="117"/>
      <c r="L726" s="117"/>
      <c r="M726" s="117"/>
      <c r="N726" s="23"/>
      <c r="O726" s="23"/>
      <c r="P726" s="23"/>
    </row>
    <row r="727" spans="10:16" x14ac:dyDescent="0.25">
      <c r="J727" s="117"/>
      <c r="K727" s="117"/>
      <c r="L727" s="117"/>
      <c r="M727" s="117"/>
      <c r="N727" s="23"/>
      <c r="O727" s="23"/>
      <c r="P727" s="23"/>
    </row>
    <row r="728" spans="10:16" x14ac:dyDescent="0.25">
      <c r="J728" s="117"/>
      <c r="K728" s="117"/>
      <c r="L728" s="117"/>
      <c r="M728" s="117"/>
      <c r="N728" s="23"/>
      <c r="O728" s="23"/>
      <c r="P728" s="23"/>
    </row>
    <row r="729" spans="10:16" x14ac:dyDescent="0.25">
      <c r="J729" s="117"/>
      <c r="K729" s="117"/>
      <c r="L729" s="117"/>
      <c r="M729" s="117"/>
      <c r="N729" s="23"/>
      <c r="O729" s="23"/>
      <c r="P729" s="23"/>
    </row>
    <row r="730" spans="10:16" x14ac:dyDescent="0.25">
      <c r="J730" s="117"/>
      <c r="K730" s="117"/>
      <c r="L730" s="117"/>
      <c r="M730" s="117"/>
      <c r="N730" s="23"/>
      <c r="O730" s="23"/>
      <c r="P730" s="23"/>
    </row>
    <row r="731" spans="10:16" x14ac:dyDescent="0.25">
      <c r="J731" s="117"/>
      <c r="K731" s="117"/>
      <c r="L731" s="117"/>
      <c r="M731" s="117"/>
      <c r="N731" s="23"/>
      <c r="O731" s="23"/>
      <c r="P731" s="23"/>
    </row>
    <row r="732" spans="10:16" x14ac:dyDescent="0.25">
      <c r="J732" s="117"/>
      <c r="K732" s="117"/>
      <c r="L732" s="117"/>
      <c r="M732" s="117"/>
      <c r="N732" s="23"/>
      <c r="O732" s="23"/>
      <c r="P732" s="23"/>
    </row>
    <row r="733" spans="10:16" x14ac:dyDescent="0.25">
      <c r="J733" s="117"/>
      <c r="K733" s="117"/>
      <c r="L733" s="117"/>
      <c r="M733" s="117"/>
      <c r="N733" s="23"/>
      <c r="O733" s="23"/>
      <c r="P733" s="23"/>
    </row>
    <row r="734" spans="10:16" x14ac:dyDescent="0.25">
      <c r="J734" s="117"/>
      <c r="K734" s="117"/>
      <c r="L734" s="117"/>
      <c r="M734" s="117"/>
      <c r="N734" s="23"/>
      <c r="O734" s="23"/>
      <c r="P734" s="23"/>
    </row>
    <row r="735" spans="10:16" x14ac:dyDescent="0.25">
      <c r="J735" s="117"/>
      <c r="K735" s="117"/>
      <c r="L735" s="117"/>
      <c r="M735" s="117"/>
      <c r="N735" s="23"/>
      <c r="O735" s="23"/>
      <c r="P735" s="23"/>
    </row>
    <row r="736" spans="10:16" x14ac:dyDescent="0.25">
      <c r="J736" s="117"/>
      <c r="K736" s="117"/>
      <c r="L736" s="117"/>
      <c r="M736" s="117"/>
      <c r="N736" s="23"/>
      <c r="O736" s="23"/>
      <c r="P736" s="23"/>
    </row>
    <row r="737" spans="10:16" x14ac:dyDescent="0.25">
      <c r="J737" s="117"/>
      <c r="K737" s="117"/>
      <c r="L737" s="117"/>
      <c r="M737" s="117"/>
      <c r="N737" s="23"/>
      <c r="O737" s="23"/>
      <c r="P737" s="23"/>
    </row>
    <row r="738" spans="10:16" x14ac:dyDescent="0.25">
      <c r="J738" s="117"/>
      <c r="K738" s="117"/>
      <c r="L738" s="117"/>
      <c r="M738" s="117"/>
      <c r="N738" s="23"/>
      <c r="O738" s="23"/>
      <c r="P738" s="23"/>
    </row>
    <row r="739" spans="10:16" x14ac:dyDescent="0.25">
      <c r="J739" s="117"/>
      <c r="K739" s="117"/>
      <c r="L739" s="117"/>
      <c r="M739" s="117"/>
      <c r="N739" s="23"/>
      <c r="O739" s="23"/>
      <c r="P739" s="23"/>
    </row>
    <row r="740" spans="10:16" x14ac:dyDescent="0.25">
      <c r="J740" s="117"/>
      <c r="K740" s="117"/>
      <c r="L740" s="117"/>
      <c r="M740" s="117"/>
      <c r="N740" s="23"/>
      <c r="O740" s="23"/>
      <c r="P740" s="23"/>
    </row>
    <row r="741" spans="10:16" x14ac:dyDescent="0.25">
      <c r="J741" s="117"/>
      <c r="K741" s="117"/>
      <c r="L741" s="117"/>
      <c r="M741" s="117"/>
      <c r="N741" s="23"/>
      <c r="O741" s="23"/>
      <c r="P741" s="23"/>
    </row>
    <row r="742" spans="10:16" x14ac:dyDescent="0.25">
      <c r="J742" s="117"/>
      <c r="K742" s="117"/>
      <c r="L742" s="117"/>
      <c r="M742" s="117"/>
      <c r="N742" s="23"/>
      <c r="O742" s="23"/>
      <c r="P742" s="23"/>
    </row>
    <row r="743" spans="10:16" x14ac:dyDescent="0.25">
      <c r="J743" s="117"/>
      <c r="K743" s="117"/>
      <c r="L743" s="117"/>
      <c r="M743" s="117"/>
      <c r="N743" s="23"/>
      <c r="O743" s="23"/>
      <c r="P743" s="23"/>
    </row>
    <row r="744" spans="10:16" x14ac:dyDescent="0.25">
      <c r="J744" s="117"/>
      <c r="K744" s="117"/>
      <c r="L744" s="117"/>
      <c r="M744" s="117"/>
      <c r="N744" s="23"/>
      <c r="O744" s="23"/>
      <c r="P744" s="23"/>
    </row>
    <row r="745" spans="10:16" x14ac:dyDescent="0.25">
      <c r="J745" s="117"/>
      <c r="K745" s="117"/>
      <c r="L745" s="117"/>
      <c r="M745" s="117"/>
      <c r="N745" s="23"/>
      <c r="O745" s="23"/>
      <c r="P745" s="23"/>
    </row>
    <row r="746" spans="10:16" x14ac:dyDescent="0.25">
      <c r="J746" s="117"/>
      <c r="K746" s="117"/>
      <c r="L746" s="117"/>
      <c r="M746" s="117"/>
      <c r="N746" s="23"/>
      <c r="O746" s="23"/>
      <c r="P746" s="23"/>
    </row>
    <row r="747" spans="10:16" x14ac:dyDescent="0.25">
      <c r="J747" s="117"/>
      <c r="K747" s="117"/>
      <c r="L747" s="117"/>
      <c r="M747" s="117"/>
      <c r="N747" s="23"/>
      <c r="O747" s="23"/>
      <c r="P747" s="23"/>
    </row>
    <row r="748" spans="10:16" x14ac:dyDescent="0.25">
      <c r="J748" s="117"/>
      <c r="K748" s="117"/>
      <c r="L748" s="117"/>
      <c r="M748" s="117"/>
      <c r="N748" s="23"/>
      <c r="O748" s="23"/>
      <c r="P748" s="23"/>
    </row>
    <row r="749" spans="10:16" x14ac:dyDescent="0.25">
      <c r="J749" s="117"/>
      <c r="K749" s="117"/>
      <c r="L749" s="117"/>
      <c r="M749" s="117"/>
      <c r="N749" s="23"/>
      <c r="O749" s="23"/>
      <c r="P749" s="23"/>
    </row>
    <row r="750" spans="10:16" x14ac:dyDescent="0.25">
      <c r="J750" s="117"/>
      <c r="K750" s="117"/>
      <c r="L750" s="117"/>
      <c r="M750" s="117"/>
      <c r="N750" s="23"/>
      <c r="O750" s="23"/>
      <c r="P750" s="23"/>
    </row>
    <row r="751" spans="10:16" x14ac:dyDescent="0.25">
      <c r="J751" s="117"/>
      <c r="K751" s="117"/>
      <c r="L751" s="117"/>
      <c r="M751" s="117"/>
      <c r="N751" s="23"/>
      <c r="O751" s="23"/>
      <c r="P751" s="23"/>
    </row>
    <row r="752" spans="10:16" x14ac:dyDescent="0.25">
      <c r="J752" s="117"/>
      <c r="K752" s="117"/>
      <c r="L752" s="117"/>
      <c r="M752" s="117"/>
      <c r="N752" s="23"/>
      <c r="O752" s="23"/>
      <c r="P752" s="23"/>
    </row>
    <row r="753" spans="10:16" x14ac:dyDescent="0.25">
      <c r="J753" s="117"/>
      <c r="K753" s="117"/>
      <c r="L753" s="117"/>
      <c r="M753" s="117"/>
      <c r="N753" s="23"/>
      <c r="O753" s="23"/>
      <c r="P753" s="23"/>
    </row>
    <row r="754" spans="10:16" x14ac:dyDescent="0.25">
      <c r="J754" s="117"/>
      <c r="K754" s="117"/>
      <c r="L754" s="117"/>
      <c r="M754" s="117"/>
      <c r="N754" s="23"/>
      <c r="O754" s="23"/>
      <c r="P754" s="23"/>
    </row>
    <row r="755" spans="10:16" x14ac:dyDescent="0.25">
      <c r="J755" s="117"/>
      <c r="K755" s="117"/>
      <c r="L755" s="117"/>
      <c r="M755" s="117"/>
      <c r="N755" s="23"/>
      <c r="O755" s="23"/>
      <c r="P755" s="23"/>
    </row>
    <row r="756" spans="10:16" x14ac:dyDescent="0.25">
      <c r="J756" s="117"/>
      <c r="K756" s="117"/>
      <c r="L756" s="117"/>
      <c r="M756" s="117"/>
      <c r="N756" s="23"/>
      <c r="O756" s="23"/>
      <c r="P756" s="23"/>
    </row>
    <row r="757" spans="10:16" x14ac:dyDescent="0.25">
      <c r="J757" s="117"/>
      <c r="K757" s="117"/>
      <c r="L757" s="117"/>
      <c r="M757" s="117"/>
      <c r="N757" s="23"/>
      <c r="O757" s="23"/>
      <c r="P757" s="23"/>
    </row>
    <row r="758" spans="10:16" x14ac:dyDescent="0.25">
      <c r="J758" s="117"/>
      <c r="K758" s="117"/>
      <c r="L758" s="117"/>
      <c r="M758" s="117"/>
      <c r="N758" s="23"/>
      <c r="O758" s="23"/>
      <c r="P758" s="23"/>
    </row>
    <row r="759" spans="10:16" x14ac:dyDescent="0.25">
      <c r="J759" s="117"/>
      <c r="K759" s="117"/>
      <c r="L759" s="117"/>
      <c r="M759" s="117"/>
      <c r="N759" s="23"/>
      <c r="O759" s="23"/>
      <c r="P759" s="23"/>
    </row>
    <row r="760" spans="10:16" x14ac:dyDescent="0.25">
      <c r="J760" s="117"/>
      <c r="K760" s="117"/>
      <c r="L760" s="117"/>
      <c r="M760" s="117"/>
      <c r="N760" s="23"/>
      <c r="O760" s="23"/>
      <c r="P760" s="23"/>
    </row>
    <row r="761" spans="10:16" x14ac:dyDescent="0.25">
      <c r="J761" s="117"/>
      <c r="K761" s="117"/>
      <c r="L761" s="117"/>
      <c r="M761" s="117"/>
      <c r="N761" s="23"/>
      <c r="O761" s="23"/>
      <c r="P761" s="23"/>
    </row>
    <row r="762" spans="10:16" x14ac:dyDescent="0.25">
      <c r="J762" s="117"/>
      <c r="K762" s="117"/>
      <c r="L762" s="117"/>
      <c r="M762" s="117"/>
      <c r="N762" s="23"/>
      <c r="O762" s="23"/>
      <c r="P762" s="23"/>
    </row>
    <row r="763" spans="10:16" x14ac:dyDescent="0.25">
      <c r="J763" s="117"/>
      <c r="K763" s="117"/>
      <c r="L763" s="117"/>
      <c r="M763" s="117"/>
      <c r="N763" s="23"/>
      <c r="O763" s="23"/>
      <c r="P763" s="23"/>
    </row>
    <row r="764" spans="10:16" x14ac:dyDescent="0.25">
      <c r="J764" s="117"/>
      <c r="K764" s="117"/>
      <c r="L764" s="117"/>
      <c r="M764" s="117"/>
      <c r="N764" s="23"/>
      <c r="O764" s="23"/>
      <c r="P764" s="23"/>
    </row>
    <row r="765" spans="10:16" x14ac:dyDescent="0.25">
      <c r="J765" s="117"/>
      <c r="K765" s="117"/>
      <c r="L765" s="117"/>
      <c r="M765" s="117"/>
      <c r="N765" s="23"/>
      <c r="O765" s="23"/>
      <c r="P765" s="23"/>
    </row>
    <row r="766" spans="10:16" x14ac:dyDescent="0.25">
      <c r="J766" s="117"/>
      <c r="K766" s="117"/>
      <c r="L766" s="117"/>
      <c r="M766" s="117"/>
      <c r="N766" s="23"/>
      <c r="O766" s="23"/>
      <c r="P766" s="23"/>
    </row>
    <row r="767" spans="10:16" x14ac:dyDescent="0.25">
      <c r="J767" s="117"/>
      <c r="K767" s="117"/>
      <c r="L767" s="117"/>
      <c r="M767" s="117"/>
      <c r="N767" s="23"/>
      <c r="O767" s="23"/>
      <c r="P767" s="23"/>
    </row>
    <row r="768" spans="10:16" x14ac:dyDescent="0.25">
      <c r="J768" s="117"/>
      <c r="K768" s="117"/>
      <c r="L768" s="117"/>
      <c r="M768" s="117"/>
      <c r="N768" s="23"/>
      <c r="O768" s="23"/>
      <c r="P768" s="23"/>
    </row>
    <row r="769" spans="10:16" x14ac:dyDescent="0.25">
      <c r="J769" s="117"/>
      <c r="K769" s="117"/>
      <c r="L769" s="117"/>
      <c r="M769" s="117"/>
      <c r="N769" s="23"/>
      <c r="O769" s="23"/>
      <c r="P769" s="23"/>
    </row>
    <row r="770" spans="10:16" x14ac:dyDescent="0.25">
      <c r="J770" s="117"/>
      <c r="K770" s="117"/>
      <c r="L770" s="117"/>
      <c r="M770" s="117"/>
      <c r="N770" s="23"/>
      <c r="O770" s="23"/>
      <c r="P770" s="23"/>
    </row>
    <row r="771" spans="10:16" x14ac:dyDescent="0.25">
      <c r="J771" s="117"/>
      <c r="K771" s="117"/>
      <c r="L771" s="117"/>
      <c r="M771" s="117"/>
      <c r="N771" s="23"/>
      <c r="O771" s="23"/>
      <c r="P771" s="23"/>
    </row>
    <row r="772" spans="10:16" x14ac:dyDescent="0.25">
      <c r="J772" s="117"/>
      <c r="K772" s="117"/>
      <c r="L772" s="117"/>
      <c r="M772" s="117"/>
      <c r="N772" s="23"/>
      <c r="O772" s="23"/>
      <c r="P772" s="23"/>
    </row>
    <row r="773" spans="10:16" x14ac:dyDescent="0.25">
      <c r="J773" s="117"/>
      <c r="K773" s="117"/>
      <c r="L773" s="117"/>
      <c r="M773" s="117"/>
      <c r="N773" s="23"/>
      <c r="O773" s="23"/>
      <c r="P773" s="23"/>
    </row>
    <row r="774" spans="10:16" x14ac:dyDescent="0.25">
      <c r="J774" s="117"/>
      <c r="K774" s="117"/>
      <c r="L774" s="117"/>
      <c r="M774" s="117"/>
      <c r="N774" s="23"/>
      <c r="O774" s="23"/>
      <c r="P774" s="23"/>
    </row>
    <row r="775" spans="10:16" x14ac:dyDescent="0.25">
      <c r="J775" s="117"/>
      <c r="K775" s="117"/>
      <c r="L775" s="117"/>
      <c r="M775" s="117"/>
      <c r="N775" s="23"/>
      <c r="O775" s="23"/>
      <c r="P775" s="23"/>
    </row>
    <row r="776" spans="10:16" x14ac:dyDescent="0.25">
      <c r="J776" s="117"/>
      <c r="K776" s="117"/>
      <c r="L776" s="117"/>
      <c r="M776" s="117"/>
      <c r="N776" s="23"/>
      <c r="O776" s="23"/>
      <c r="P776" s="23"/>
    </row>
    <row r="777" spans="10:16" x14ac:dyDescent="0.25">
      <c r="J777" s="117"/>
      <c r="K777" s="117"/>
      <c r="L777" s="117"/>
      <c r="M777" s="117"/>
      <c r="N777" s="23"/>
      <c r="O777" s="23"/>
      <c r="P777" s="23"/>
    </row>
    <row r="778" spans="10:16" x14ac:dyDescent="0.25">
      <c r="J778" s="117"/>
      <c r="K778" s="117"/>
      <c r="L778" s="117"/>
      <c r="M778" s="117"/>
      <c r="N778" s="23"/>
      <c r="O778" s="23"/>
      <c r="P778" s="23"/>
    </row>
    <row r="779" spans="10:16" x14ac:dyDescent="0.25">
      <c r="J779" s="117"/>
      <c r="K779" s="117"/>
      <c r="L779" s="117"/>
      <c r="M779" s="117"/>
      <c r="N779" s="23"/>
      <c r="O779" s="23"/>
      <c r="P779" s="23"/>
    </row>
    <row r="780" spans="10:16" x14ac:dyDescent="0.25">
      <c r="J780" s="117"/>
      <c r="K780" s="117"/>
      <c r="L780" s="117"/>
      <c r="M780" s="117"/>
      <c r="N780" s="23"/>
      <c r="O780" s="23"/>
      <c r="P780" s="23"/>
    </row>
    <row r="781" spans="10:16" x14ac:dyDescent="0.25">
      <c r="J781" s="117"/>
      <c r="K781" s="117"/>
      <c r="L781" s="117"/>
      <c r="M781" s="117"/>
      <c r="N781" s="23"/>
      <c r="O781" s="23"/>
      <c r="P781" s="23"/>
    </row>
    <row r="782" spans="10:16" x14ac:dyDescent="0.25">
      <c r="J782" s="117"/>
      <c r="K782" s="117"/>
      <c r="L782" s="117"/>
      <c r="M782" s="117"/>
      <c r="N782" s="23"/>
      <c r="O782" s="23"/>
      <c r="P782" s="23"/>
    </row>
    <row r="783" spans="10:16" x14ac:dyDescent="0.25">
      <c r="J783" s="117"/>
      <c r="K783" s="117"/>
      <c r="L783" s="117"/>
      <c r="M783" s="117"/>
      <c r="N783" s="23"/>
      <c r="O783" s="23"/>
      <c r="P783" s="23"/>
    </row>
    <row r="784" spans="10:16" x14ac:dyDescent="0.25">
      <c r="J784" s="117"/>
      <c r="K784" s="117"/>
      <c r="L784" s="117"/>
      <c r="M784" s="117"/>
      <c r="N784" s="23"/>
      <c r="O784" s="23"/>
      <c r="P784" s="23"/>
    </row>
    <row r="785" spans="10:16" x14ac:dyDescent="0.25">
      <c r="J785" s="117"/>
      <c r="K785" s="117"/>
      <c r="L785" s="117"/>
      <c r="M785" s="117"/>
      <c r="N785" s="23"/>
      <c r="O785" s="23"/>
      <c r="P785" s="23"/>
    </row>
    <row r="786" spans="10:16" x14ac:dyDescent="0.25">
      <c r="J786" s="117"/>
      <c r="K786" s="117"/>
      <c r="L786" s="117"/>
      <c r="M786" s="117"/>
      <c r="N786" s="23"/>
      <c r="O786" s="23"/>
      <c r="P786" s="23"/>
    </row>
    <row r="787" spans="10:16" x14ac:dyDescent="0.25">
      <c r="J787" s="117"/>
      <c r="K787" s="117"/>
      <c r="L787" s="117"/>
      <c r="M787" s="117"/>
      <c r="N787" s="23"/>
      <c r="O787" s="23"/>
      <c r="P787" s="23"/>
    </row>
    <row r="788" spans="10:16" x14ac:dyDescent="0.25">
      <c r="J788" s="117"/>
      <c r="K788" s="117"/>
      <c r="L788" s="117"/>
      <c r="M788" s="117"/>
      <c r="N788" s="23"/>
      <c r="O788" s="23"/>
      <c r="P788" s="23"/>
    </row>
    <row r="789" spans="10:16" x14ac:dyDescent="0.25">
      <c r="J789" s="117"/>
      <c r="K789" s="117"/>
      <c r="L789" s="117"/>
      <c r="M789" s="117"/>
      <c r="N789" s="23"/>
      <c r="O789" s="23"/>
      <c r="P789" s="23"/>
    </row>
    <row r="790" spans="10:16" x14ac:dyDescent="0.25">
      <c r="J790" s="117"/>
      <c r="K790" s="117"/>
      <c r="L790" s="117"/>
      <c r="M790" s="117"/>
      <c r="N790" s="23"/>
      <c r="O790" s="23"/>
      <c r="P790" s="23"/>
    </row>
    <row r="791" spans="10:16" x14ac:dyDescent="0.25">
      <c r="J791" s="117"/>
      <c r="K791" s="117"/>
      <c r="L791" s="117"/>
      <c r="M791" s="117"/>
      <c r="N791" s="23"/>
      <c r="O791" s="23"/>
      <c r="P791" s="23"/>
    </row>
    <row r="792" spans="10:16" x14ac:dyDescent="0.25">
      <c r="J792" s="117"/>
      <c r="K792" s="117"/>
      <c r="L792" s="117"/>
      <c r="M792" s="117"/>
      <c r="N792" s="23"/>
      <c r="O792" s="23"/>
      <c r="P792" s="23"/>
    </row>
    <row r="793" spans="10:16" x14ac:dyDescent="0.25">
      <c r="J793" s="117"/>
      <c r="K793" s="117"/>
      <c r="L793" s="117"/>
      <c r="M793" s="117"/>
      <c r="N793" s="23"/>
      <c r="O793" s="23"/>
      <c r="P793" s="23"/>
    </row>
    <row r="794" spans="10:16" x14ac:dyDescent="0.25">
      <c r="J794" s="117"/>
      <c r="K794" s="117"/>
      <c r="L794" s="117"/>
      <c r="M794" s="117"/>
      <c r="N794" s="23"/>
      <c r="O794" s="23"/>
      <c r="P794" s="23"/>
    </row>
    <row r="795" spans="10:16" x14ac:dyDescent="0.25">
      <c r="J795" s="117"/>
      <c r="K795" s="117"/>
      <c r="L795" s="117"/>
      <c r="M795" s="117"/>
      <c r="N795" s="23"/>
      <c r="O795" s="23"/>
      <c r="P795" s="23"/>
    </row>
    <row r="796" spans="10:16" x14ac:dyDescent="0.25">
      <c r="J796" s="117"/>
      <c r="K796" s="117"/>
      <c r="L796" s="117"/>
      <c r="M796" s="117"/>
      <c r="N796" s="23"/>
      <c r="O796" s="23"/>
      <c r="P796" s="23"/>
    </row>
    <row r="797" spans="10:16" x14ac:dyDescent="0.25">
      <c r="J797" s="117"/>
      <c r="K797" s="117"/>
      <c r="L797" s="117"/>
      <c r="M797" s="117"/>
      <c r="N797" s="23"/>
      <c r="O797" s="23"/>
      <c r="P797" s="23"/>
    </row>
    <row r="798" spans="10:16" x14ac:dyDescent="0.25">
      <c r="J798" s="117"/>
      <c r="K798" s="117"/>
      <c r="L798" s="117"/>
      <c r="M798" s="117"/>
      <c r="N798" s="23"/>
      <c r="O798" s="23"/>
      <c r="P798" s="23"/>
    </row>
    <row r="799" spans="10:16" x14ac:dyDescent="0.25">
      <c r="J799" s="117"/>
      <c r="K799" s="117"/>
      <c r="L799" s="117"/>
      <c r="M799" s="117"/>
      <c r="N799" s="23"/>
      <c r="O799" s="23"/>
      <c r="P799" s="23"/>
    </row>
    <row r="800" spans="10:16" x14ac:dyDescent="0.25">
      <c r="J800" s="117"/>
      <c r="K800" s="117"/>
      <c r="L800" s="117"/>
      <c r="M800" s="117"/>
      <c r="N800" s="23"/>
      <c r="O800" s="23"/>
      <c r="P800" s="23"/>
    </row>
    <row r="801" spans="10:16" x14ac:dyDescent="0.25">
      <c r="J801" s="117"/>
      <c r="K801" s="117"/>
      <c r="L801" s="117"/>
      <c r="M801" s="117"/>
      <c r="N801" s="23"/>
      <c r="O801" s="23"/>
      <c r="P801" s="23"/>
    </row>
    <row r="802" spans="10:16" x14ac:dyDescent="0.25">
      <c r="J802" s="117"/>
      <c r="K802" s="117"/>
      <c r="L802" s="117"/>
      <c r="M802" s="117"/>
      <c r="N802" s="23"/>
      <c r="O802" s="23"/>
      <c r="P802" s="23"/>
    </row>
    <row r="803" spans="10:16" x14ac:dyDescent="0.25">
      <c r="J803" s="117"/>
      <c r="K803" s="117"/>
      <c r="L803" s="117"/>
      <c r="M803" s="117"/>
      <c r="N803" s="23"/>
      <c r="O803" s="23"/>
      <c r="P803" s="23"/>
    </row>
    <row r="804" spans="10:16" x14ac:dyDescent="0.25">
      <c r="J804" s="117"/>
      <c r="K804" s="117"/>
      <c r="L804" s="117"/>
      <c r="M804" s="117"/>
      <c r="N804" s="23"/>
      <c r="O804" s="23"/>
      <c r="P804" s="23"/>
    </row>
    <row r="805" spans="10:16" x14ac:dyDescent="0.25">
      <c r="J805" s="117"/>
      <c r="K805" s="117"/>
      <c r="L805" s="117"/>
      <c r="M805" s="117"/>
      <c r="N805" s="23"/>
      <c r="O805" s="23"/>
      <c r="P805" s="23"/>
    </row>
    <row r="806" spans="10:16" x14ac:dyDescent="0.25">
      <c r="J806" s="117"/>
      <c r="K806" s="117"/>
      <c r="L806" s="117"/>
      <c r="M806" s="117"/>
      <c r="N806" s="23"/>
      <c r="O806" s="23"/>
      <c r="P806" s="23"/>
    </row>
    <row r="807" spans="10:16" x14ac:dyDescent="0.25">
      <c r="J807" s="117"/>
      <c r="K807" s="117"/>
      <c r="L807" s="117"/>
      <c r="M807" s="117"/>
      <c r="N807" s="23"/>
      <c r="O807" s="23"/>
      <c r="P807" s="23"/>
    </row>
    <row r="808" spans="10:16" x14ac:dyDescent="0.25">
      <c r="J808" s="117"/>
      <c r="K808" s="117"/>
      <c r="L808" s="117"/>
      <c r="M808" s="117"/>
      <c r="N808" s="23"/>
      <c r="O808" s="23"/>
      <c r="P808" s="23"/>
    </row>
    <row r="809" spans="10:16" x14ac:dyDescent="0.25">
      <c r="J809" s="117"/>
      <c r="K809" s="117"/>
      <c r="L809" s="117"/>
      <c r="M809" s="117"/>
      <c r="N809" s="23"/>
      <c r="O809" s="23"/>
      <c r="P809" s="23"/>
    </row>
    <row r="810" spans="10:16" x14ac:dyDescent="0.25">
      <c r="J810" s="117"/>
      <c r="K810" s="117"/>
      <c r="L810" s="117"/>
      <c r="M810" s="117"/>
      <c r="N810" s="23"/>
      <c r="O810" s="23"/>
      <c r="P810" s="23"/>
    </row>
    <row r="811" spans="10:16" x14ac:dyDescent="0.25">
      <c r="J811" s="117"/>
      <c r="K811" s="117"/>
      <c r="L811" s="117"/>
      <c r="M811" s="117"/>
      <c r="N811" s="23"/>
      <c r="O811" s="23"/>
      <c r="P811" s="23"/>
    </row>
    <row r="812" spans="10:16" x14ac:dyDescent="0.25">
      <c r="J812" s="117"/>
      <c r="K812" s="117"/>
      <c r="L812" s="117"/>
      <c r="M812" s="117"/>
      <c r="N812" s="23"/>
      <c r="O812" s="23"/>
      <c r="P812" s="23"/>
    </row>
    <row r="813" spans="10:16" x14ac:dyDescent="0.25">
      <c r="J813" s="117"/>
      <c r="K813" s="117"/>
      <c r="L813" s="117"/>
      <c r="M813" s="117"/>
      <c r="N813" s="23"/>
      <c r="O813" s="23"/>
      <c r="P813" s="23"/>
    </row>
    <row r="814" spans="10:16" x14ac:dyDescent="0.25">
      <c r="J814" s="117"/>
      <c r="K814" s="117"/>
      <c r="L814" s="117"/>
      <c r="M814" s="117"/>
      <c r="N814" s="23"/>
      <c r="O814" s="23"/>
      <c r="P814" s="23"/>
    </row>
    <row r="815" spans="10:16" x14ac:dyDescent="0.25">
      <c r="J815" s="117"/>
      <c r="K815" s="117"/>
      <c r="L815" s="117"/>
      <c r="M815" s="117"/>
      <c r="N815" s="23"/>
      <c r="O815" s="23"/>
      <c r="P815" s="23"/>
    </row>
    <row r="816" spans="10:16" x14ac:dyDescent="0.25">
      <c r="J816" s="117"/>
      <c r="K816" s="117"/>
      <c r="L816" s="117"/>
      <c r="M816" s="117"/>
      <c r="N816" s="23"/>
      <c r="O816" s="23"/>
      <c r="P816" s="23"/>
    </row>
    <row r="817" spans="10:16" x14ac:dyDescent="0.25">
      <c r="J817" s="117"/>
      <c r="K817" s="117"/>
      <c r="L817" s="117"/>
      <c r="M817" s="117"/>
      <c r="N817" s="23"/>
      <c r="O817" s="23"/>
      <c r="P817" s="23"/>
    </row>
    <row r="818" spans="10:16" x14ac:dyDescent="0.25">
      <c r="J818" s="117"/>
      <c r="K818" s="117"/>
      <c r="L818" s="117"/>
      <c r="M818" s="117"/>
      <c r="N818" s="23"/>
      <c r="O818" s="23"/>
      <c r="P818" s="23"/>
    </row>
    <row r="819" spans="10:16" x14ac:dyDescent="0.25">
      <c r="J819" s="117"/>
      <c r="K819" s="117"/>
      <c r="L819" s="117"/>
      <c r="M819" s="117"/>
      <c r="N819" s="23"/>
      <c r="O819" s="23"/>
      <c r="P819" s="23"/>
    </row>
    <row r="820" spans="10:16" x14ac:dyDescent="0.25">
      <c r="J820" s="117"/>
      <c r="K820" s="117"/>
      <c r="L820" s="117"/>
      <c r="M820" s="117"/>
      <c r="N820" s="23"/>
      <c r="O820" s="23"/>
      <c r="P820" s="23"/>
    </row>
    <row r="821" spans="10:16" x14ac:dyDescent="0.25">
      <c r="J821" s="117"/>
      <c r="K821" s="117"/>
      <c r="L821" s="117"/>
      <c r="M821" s="117"/>
      <c r="N821" s="23"/>
      <c r="O821" s="23"/>
      <c r="P821" s="23"/>
    </row>
    <row r="822" spans="10:16" x14ac:dyDescent="0.25">
      <c r="J822" s="117"/>
      <c r="K822" s="117"/>
      <c r="L822" s="117"/>
      <c r="M822" s="117"/>
      <c r="N822" s="23"/>
      <c r="O822" s="23"/>
      <c r="P822" s="23"/>
    </row>
    <row r="823" spans="10:16" x14ac:dyDescent="0.25">
      <c r="J823" s="117"/>
      <c r="K823" s="117"/>
      <c r="L823" s="117"/>
      <c r="M823" s="117"/>
      <c r="N823" s="23"/>
      <c r="O823" s="23"/>
      <c r="P823" s="23"/>
    </row>
    <row r="824" spans="10:16" x14ac:dyDescent="0.25">
      <c r="J824" s="117"/>
      <c r="K824" s="117"/>
      <c r="L824" s="117"/>
      <c r="M824" s="117"/>
      <c r="N824" s="23"/>
      <c r="O824" s="23"/>
      <c r="P824" s="23"/>
    </row>
    <row r="825" spans="10:16" x14ac:dyDescent="0.25">
      <c r="J825" s="117"/>
      <c r="K825" s="117"/>
      <c r="L825" s="117"/>
      <c r="M825" s="117"/>
      <c r="N825" s="23"/>
      <c r="O825" s="23"/>
      <c r="P825" s="23"/>
    </row>
    <row r="826" spans="10:16" x14ac:dyDescent="0.25">
      <c r="J826" s="117"/>
      <c r="K826" s="117"/>
      <c r="L826" s="117"/>
      <c r="M826" s="117"/>
      <c r="N826" s="23"/>
      <c r="O826" s="23"/>
      <c r="P826" s="23"/>
    </row>
    <row r="827" spans="10:16" x14ac:dyDescent="0.25">
      <c r="J827" s="117"/>
      <c r="K827" s="117"/>
      <c r="L827" s="117"/>
      <c r="M827" s="117"/>
      <c r="N827" s="23"/>
      <c r="O827" s="23"/>
      <c r="P827" s="23"/>
    </row>
    <row r="828" spans="10:16" x14ac:dyDescent="0.25">
      <c r="J828" s="117"/>
      <c r="K828" s="117"/>
      <c r="L828" s="117"/>
      <c r="M828" s="117"/>
      <c r="N828" s="23"/>
      <c r="O828" s="23"/>
      <c r="P828" s="23"/>
    </row>
    <row r="829" spans="10:16" x14ac:dyDescent="0.25">
      <c r="J829" s="117"/>
      <c r="K829" s="117"/>
      <c r="L829" s="117"/>
      <c r="M829" s="117"/>
      <c r="N829" s="23"/>
      <c r="O829" s="23"/>
      <c r="P829" s="23"/>
    </row>
    <row r="830" spans="10:16" x14ac:dyDescent="0.25">
      <c r="J830" s="117"/>
      <c r="K830" s="117"/>
      <c r="L830" s="117"/>
      <c r="M830" s="117"/>
      <c r="N830" s="23"/>
      <c r="O830" s="23"/>
      <c r="P830" s="23"/>
    </row>
    <row r="831" spans="10:16" x14ac:dyDescent="0.25">
      <c r="J831" s="117"/>
      <c r="K831" s="117"/>
      <c r="L831" s="117"/>
      <c r="M831" s="117"/>
      <c r="N831" s="23"/>
      <c r="O831" s="23"/>
      <c r="P831" s="23"/>
    </row>
    <row r="832" spans="10:16" x14ac:dyDescent="0.25">
      <c r="J832" s="117"/>
      <c r="K832" s="117"/>
      <c r="L832" s="117"/>
      <c r="M832" s="117"/>
      <c r="N832" s="23"/>
      <c r="O832" s="23"/>
      <c r="P832" s="23"/>
    </row>
    <row r="833" spans="10:16" x14ac:dyDescent="0.25">
      <c r="J833" s="117"/>
      <c r="K833" s="117"/>
      <c r="L833" s="117"/>
      <c r="M833" s="117"/>
      <c r="N833" s="23"/>
      <c r="O833" s="23"/>
      <c r="P833" s="23"/>
    </row>
    <row r="834" spans="10:16" x14ac:dyDescent="0.25">
      <c r="J834" s="117"/>
      <c r="K834" s="117"/>
      <c r="L834" s="117"/>
      <c r="M834" s="117"/>
      <c r="N834" s="23"/>
      <c r="O834" s="23"/>
      <c r="P834" s="23"/>
    </row>
    <row r="835" spans="10:16" x14ac:dyDescent="0.25">
      <c r="J835" s="117"/>
      <c r="K835" s="117"/>
      <c r="L835" s="117"/>
      <c r="M835" s="117"/>
      <c r="N835" s="23"/>
      <c r="O835" s="23"/>
      <c r="P835" s="23"/>
    </row>
    <row r="836" spans="10:16" x14ac:dyDescent="0.25">
      <c r="J836" s="117"/>
      <c r="K836" s="117"/>
      <c r="L836" s="117"/>
      <c r="M836" s="117"/>
      <c r="N836" s="23"/>
      <c r="O836" s="23"/>
      <c r="P836" s="23"/>
    </row>
    <row r="837" spans="10:16" x14ac:dyDescent="0.25">
      <c r="J837" s="117"/>
      <c r="K837" s="117"/>
      <c r="L837" s="117"/>
      <c r="M837" s="117"/>
      <c r="N837" s="23"/>
      <c r="O837" s="23"/>
      <c r="P837" s="23"/>
    </row>
    <row r="838" spans="10:16" x14ac:dyDescent="0.25">
      <c r="J838" s="117"/>
      <c r="K838" s="117"/>
      <c r="L838" s="117"/>
      <c r="M838" s="117"/>
      <c r="N838" s="23"/>
      <c r="O838" s="23"/>
      <c r="P838" s="23"/>
    </row>
    <row r="839" spans="10:16" x14ac:dyDescent="0.25">
      <c r="J839" s="117"/>
      <c r="K839" s="117"/>
      <c r="L839" s="117"/>
      <c r="M839" s="117"/>
      <c r="N839" s="23"/>
      <c r="O839" s="23"/>
      <c r="P839" s="23"/>
    </row>
    <row r="840" spans="10:16" x14ac:dyDescent="0.25">
      <c r="J840" s="117"/>
      <c r="K840" s="117"/>
      <c r="L840" s="117"/>
      <c r="M840" s="117"/>
      <c r="N840" s="23"/>
      <c r="O840" s="23"/>
      <c r="P840" s="23"/>
    </row>
    <row r="841" spans="10:16" x14ac:dyDescent="0.25">
      <c r="J841" s="117"/>
      <c r="K841" s="117"/>
      <c r="L841" s="117"/>
      <c r="M841" s="117"/>
      <c r="N841" s="23"/>
      <c r="O841" s="23"/>
      <c r="P841" s="23"/>
    </row>
    <row r="842" spans="10:16" x14ac:dyDescent="0.25">
      <c r="J842" s="117"/>
      <c r="K842" s="117"/>
      <c r="L842" s="117"/>
      <c r="M842" s="117"/>
      <c r="N842" s="23"/>
      <c r="O842" s="23"/>
      <c r="P842" s="23"/>
    </row>
    <row r="843" spans="10:16" x14ac:dyDescent="0.25">
      <c r="J843" s="117"/>
      <c r="K843" s="117"/>
      <c r="L843" s="117"/>
      <c r="M843" s="117"/>
      <c r="N843" s="23"/>
      <c r="O843" s="23"/>
      <c r="P843" s="23"/>
    </row>
    <row r="844" spans="10:16" x14ac:dyDescent="0.25">
      <c r="J844" s="117"/>
      <c r="K844" s="117"/>
      <c r="L844" s="117"/>
      <c r="M844" s="117"/>
      <c r="N844" s="23"/>
      <c r="O844" s="23"/>
      <c r="P844" s="23"/>
    </row>
    <row r="845" spans="10:16" x14ac:dyDescent="0.25">
      <c r="J845" s="117"/>
      <c r="K845" s="117"/>
      <c r="L845" s="117"/>
      <c r="M845" s="117"/>
      <c r="N845" s="23"/>
      <c r="O845" s="23"/>
      <c r="P845" s="23"/>
    </row>
    <row r="846" spans="10:16" x14ac:dyDescent="0.25">
      <c r="J846" s="117"/>
      <c r="K846" s="117"/>
      <c r="L846" s="117"/>
      <c r="M846" s="117"/>
      <c r="N846" s="23"/>
      <c r="O846" s="23"/>
      <c r="P846" s="23"/>
    </row>
    <row r="847" spans="10:16" x14ac:dyDescent="0.25">
      <c r="J847" s="117"/>
      <c r="K847" s="117"/>
      <c r="L847" s="117"/>
      <c r="M847" s="117"/>
      <c r="N847" s="23"/>
      <c r="O847" s="23"/>
      <c r="P847" s="23"/>
    </row>
    <row r="848" spans="10:16" x14ac:dyDescent="0.25">
      <c r="J848" s="117"/>
      <c r="K848" s="117"/>
      <c r="L848" s="117"/>
      <c r="M848" s="117"/>
      <c r="N848" s="23"/>
      <c r="O848" s="23"/>
      <c r="P848" s="23"/>
    </row>
    <row r="849" spans="10:16" x14ac:dyDescent="0.25">
      <c r="J849" s="117"/>
      <c r="K849" s="117"/>
      <c r="L849" s="117"/>
      <c r="M849" s="117"/>
      <c r="N849" s="23"/>
      <c r="O849" s="23"/>
      <c r="P849" s="23"/>
    </row>
    <row r="850" spans="10:16" x14ac:dyDescent="0.25">
      <c r="J850" s="117"/>
      <c r="K850" s="117"/>
      <c r="L850" s="117"/>
      <c r="M850" s="117"/>
      <c r="N850" s="23"/>
      <c r="O850" s="23"/>
      <c r="P850" s="23"/>
    </row>
    <row r="851" spans="10:16" x14ac:dyDescent="0.25">
      <c r="J851" s="117"/>
      <c r="K851" s="117"/>
      <c r="L851" s="117"/>
      <c r="M851" s="117"/>
      <c r="N851" s="23"/>
      <c r="O851" s="23"/>
      <c r="P851" s="23"/>
    </row>
    <row r="852" spans="10:16" x14ac:dyDescent="0.25">
      <c r="J852" s="117"/>
      <c r="K852" s="117"/>
      <c r="L852" s="117"/>
      <c r="M852" s="117"/>
      <c r="N852" s="23"/>
      <c r="O852" s="23"/>
      <c r="P852" s="23"/>
    </row>
    <row r="853" spans="10:16" x14ac:dyDescent="0.25">
      <c r="J853" s="117"/>
      <c r="K853" s="117"/>
      <c r="L853" s="117"/>
      <c r="M853" s="117"/>
      <c r="N853" s="23"/>
      <c r="O853" s="23"/>
      <c r="P853" s="23"/>
    </row>
    <row r="854" spans="10:16" x14ac:dyDescent="0.25">
      <c r="J854" s="117"/>
      <c r="K854" s="117"/>
      <c r="L854" s="117"/>
      <c r="M854" s="117"/>
      <c r="N854" s="23"/>
      <c r="O854" s="23"/>
      <c r="P854" s="23"/>
    </row>
    <row r="855" spans="10:16" x14ac:dyDescent="0.25">
      <c r="J855" s="117"/>
      <c r="K855" s="117"/>
      <c r="L855" s="117"/>
      <c r="M855" s="117"/>
      <c r="N855" s="23"/>
      <c r="O855" s="23"/>
      <c r="P855" s="23"/>
    </row>
    <row r="856" spans="10:16" x14ac:dyDescent="0.25">
      <c r="J856" s="117"/>
      <c r="K856" s="117"/>
      <c r="L856" s="117"/>
      <c r="M856" s="117"/>
      <c r="N856" s="23"/>
      <c r="O856" s="23"/>
      <c r="P856" s="23"/>
    </row>
    <row r="857" spans="10:16" x14ac:dyDescent="0.25">
      <c r="J857" s="117"/>
      <c r="K857" s="117"/>
      <c r="L857" s="117"/>
      <c r="M857" s="117"/>
      <c r="N857" s="23"/>
      <c r="O857" s="23"/>
      <c r="P857" s="23"/>
    </row>
    <row r="858" spans="10:16" x14ac:dyDescent="0.25">
      <c r="J858" s="117"/>
      <c r="K858" s="117"/>
      <c r="L858" s="117"/>
      <c r="M858" s="117"/>
      <c r="N858" s="23"/>
      <c r="O858" s="23"/>
      <c r="P858" s="23"/>
    </row>
    <row r="859" spans="10:16" x14ac:dyDescent="0.25">
      <c r="J859" s="117"/>
      <c r="K859" s="117"/>
      <c r="L859" s="117"/>
      <c r="M859" s="117"/>
      <c r="N859" s="23"/>
      <c r="O859" s="23"/>
      <c r="P859" s="23"/>
    </row>
    <row r="860" spans="10:16" x14ac:dyDescent="0.25">
      <c r="J860" s="117"/>
      <c r="K860" s="117"/>
      <c r="L860" s="117"/>
      <c r="M860" s="117"/>
      <c r="N860" s="23"/>
      <c r="O860" s="23"/>
      <c r="P860" s="23"/>
    </row>
    <row r="861" spans="10:16" x14ac:dyDescent="0.25">
      <c r="J861" s="117"/>
      <c r="K861" s="117"/>
      <c r="L861" s="117"/>
      <c r="M861" s="117"/>
      <c r="N861" s="23"/>
      <c r="O861" s="23"/>
      <c r="P861" s="23"/>
    </row>
    <row r="862" spans="10:16" x14ac:dyDescent="0.25">
      <c r="J862" s="117"/>
      <c r="K862" s="117"/>
      <c r="L862" s="117"/>
      <c r="M862" s="117"/>
      <c r="N862" s="23"/>
      <c r="O862" s="23"/>
      <c r="P862" s="23"/>
    </row>
    <row r="863" spans="10:16" x14ac:dyDescent="0.25">
      <c r="J863" s="117"/>
      <c r="K863" s="117"/>
      <c r="L863" s="117"/>
      <c r="M863" s="117"/>
      <c r="N863" s="23"/>
      <c r="O863" s="23"/>
      <c r="P863" s="23"/>
    </row>
    <row r="864" spans="10:16" x14ac:dyDescent="0.25">
      <c r="J864" s="117"/>
      <c r="K864" s="117"/>
      <c r="L864" s="117"/>
      <c r="M864" s="117"/>
      <c r="N864" s="23"/>
      <c r="O864" s="23"/>
      <c r="P864" s="23"/>
    </row>
    <row r="865" spans="10:16" x14ac:dyDescent="0.25">
      <c r="J865" s="117"/>
      <c r="K865" s="117"/>
      <c r="L865" s="117"/>
      <c r="M865" s="117"/>
      <c r="N865" s="23"/>
      <c r="O865" s="23"/>
      <c r="P865" s="23"/>
    </row>
    <row r="866" spans="10:16" x14ac:dyDescent="0.25">
      <c r="J866" s="117"/>
      <c r="K866" s="117"/>
      <c r="L866" s="117"/>
      <c r="M866" s="117"/>
      <c r="N866" s="23"/>
      <c r="O866" s="23"/>
      <c r="P866" s="23"/>
    </row>
    <row r="867" spans="10:16" x14ac:dyDescent="0.25">
      <c r="J867" s="117"/>
      <c r="K867" s="117"/>
      <c r="L867" s="117"/>
      <c r="M867" s="117"/>
      <c r="N867" s="23"/>
      <c r="O867" s="23"/>
      <c r="P867" s="23"/>
    </row>
    <row r="868" spans="10:16" x14ac:dyDescent="0.25">
      <c r="J868" s="117"/>
      <c r="K868" s="117"/>
      <c r="L868" s="117"/>
      <c r="M868" s="117"/>
      <c r="N868" s="23"/>
      <c r="O868" s="23"/>
      <c r="P868" s="23"/>
    </row>
    <row r="869" spans="10:16" x14ac:dyDescent="0.25">
      <c r="J869" s="117"/>
      <c r="K869" s="117"/>
      <c r="L869" s="117"/>
      <c r="M869" s="117"/>
      <c r="N869" s="23"/>
      <c r="O869" s="23"/>
      <c r="P869" s="23"/>
    </row>
    <row r="870" spans="10:16" x14ac:dyDescent="0.25">
      <c r="J870" s="117"/>
      <c r="K870" s="117"/>
      <c r="L870" s="117"/>
      <c r="M870" s="117"/>
      <c r="N870" s="23"/>
      <c r="O870" s="23"/>
      <c r="P870" s="23"/>
    </row>
    <row r="871" spans="10:16" x14ac:dyDescent="0.25">
      <c r="J871" s="117"/>
      <c r="K871" s="117"/>
      <c r="L871" s="117"/>
      <c r="M871" s="117"/>
      <c r="N871" s="23"/>
      <c r="O871" s="23"/>
      <c r="P871" s="23"/>
    </row>
    <row r="872" spans="10:16" x14ac:dyDescent="0.25">
      <c r="J872" s="117"/>
      <c r="K872" s="117"/>
      <c r="L872" s="117"/>
      <c r="M872" s="117"/>
      <c r="N872" s="23"/>
      <c r="O872" s="23"/>
      <c r="P872" s="23"/>
    </row>
    <row r="873" spans="10:16" x14ac:dyDescent="0.25">
      <c r="J873" s="117"/>
      <c r="K873" s="117"/>
      <c r="L873" s="117"/>
      <c r="M873" s="117"/>
      <c r="N873" s="23"/>
      <c r="O873" s="23"/>
      <c r="P873" s="23"/>
    </row>
    <row r="874" spans="10:16" x14ac:dyDescent="0.25">
      <c r="J874" s="117"/>
      <c r="K874" s="117"/>
      <c r="L874" s="117"/>
      <c r="M874" s="117"/>
      <c r="N874" s="23"/>
      <c r="O874" s="23"/>
      <c r="P874" s="23"/>
    </row>
    <row r="875" spans="10:16" x14ac:dyDescent="0.25">
      <c r="J875" s="117"/>
      <c r="K875" s="117"/>
      <c r="L875" s="117"/>
      <c r="M875" s="117"/>
      <c r="N875" s="23"/>
      <c r="O875" s="23"/>
      <c r="P875" s="23"/>
    </row>
    <row r="876" spans="10:16" x14ac:dyDescent="0.25">
      <c r="J876" s="117"/>
      <c r="K876" s="117"/>
      <c r="L876" s="117"/>
      <c r="M876" s="117"/>
      <c r="N876" s="23"/>
      <c r="O876" s="23"/>
      <c r="P876" s="23"/>
    </row>
    <row r="877" spans="10:16" x14ac:dyDescent="0.25">
      <c r="J877" s="117"/>
      <c r="K877" s="117"/>
      <c r="L877" s="117"/>
      <c r="M877" s="117"/>
      <c r="N877" s="23"/>
      <c r="O877" s="23"/>
      <c r="P877" s="23"/>
    </row>
    <row r="878" spans="10:16" x14ac:dyDescent="0.25">
      <c r="J878" s="117"/>
      <c r="K878" s="117"/>
      <c r="L878" s="117"/>
      <c r="M878" s="117"/>
      <c r="N878" s="23"/>
      <c r="O878" s="23"/>
      <c r="P878" s="23"/>
    </row>
    <row r="879" spans="10:16" x14ac:dyDescent="0.25">
      <c r="J879" s="117"/>
      <c r="K879" s="117"/>
      <c r="L879" s="117"/>
      <c r="M879" s="117"/>
      <c r="N879" s="23"/>
      <c r="O879" s="23"/>
      <c r="P879" s="23"/>
    </row>
    <row r="880" spans="10:16" x14ac:dyDescent="0.25">
      <c r="J880" s="117"/>
      <c r="K880" s="117"/>
      <c r="L880" s="117"/>
      <c r="M880" s="117"/>
      <c r="N880" s="23"/>
      <c r="O880" s="23"/>
      <c r="P880" s="23"/>
    </row>
    <row r="881" spans="10:16" x14ac:dyDescent="0.25">
      <c r="J881" s="117"/>
      <c r="K881" s="117"/>
      <c r="L881" s="117"/>
      <c r="M881" s="117"/>
      <c r="N881" s="23"/>
      <c r="O881" s="23"/>
      <c r="P881" s="23"/>
    </row>
    <row r="882" spans="10:16" x14ac:dyDescent="0.25">
      <c r="J882" s="117"/>
      <c r="K882" s="117"/>
      <c r="L882" s="117"/>
      <c r="M882" s="117"/>
      <c r="N882" s="23"/>
      <c r="O882" s="23"/>
      <c r="P882" s="23"/>
    </row>
    <row r="883" spans="10:16" x14ac:dyDescent="0.25">
      <c r="J883" s="117"/>
      <c r="K883" s="117"/>
      <c r="L883" s="117"/>
      <c r="M883" s="117"/>
      <c r="N883" s="23"/>
      <c r="O883" s="23"/>
      <c r="P883" s="23"/>
    </row>
    <row r="884" spans="10:16" x14ac:dyDescent="0.25">
      <c r="J884" s="117"/>
      <c r="K884" s="117"/>
      <c r="L884" s="117"/>
      <c r="M884" s="117"/>
      <c r="N884" s="23"/>
      <c r="O884" s="23"/>
      <c r="P884" s="23"/>
    </row>
    <row r="885" spans="10:16" x14ac:dyDescent="0.25">
      <c r="J885" s="117"/>
      <c r="K885" s="117"/>
      <c r="L885" s="117"/>
      <c r="M885" s="117"/>
      <c r="N885" s="23"/>
      <c r="O885" s="23"/>
      <c r="P885" s="23"/>
    </row>
    <row r="886" spans="10:16" x14ac:dyDescent="0.25">
      <c r="J886" s="117"/>
      <c r="K886" s="117"/>
      <c r="L886" s="117"/>
      <c r="M886" s="117"/>
      <c r="N886" s="23"/>
      <c r="O886" s="23"/>
      <c r="P886" s="23"/>
    </row>
    <row r="887" spans="10:16" x14ac:dyDescent="0.25">
      <c r="J887" s="117"/>
      <c r="K887" s="117"/>
      <c r="L887" s="117"/>
      <c r="M887" s="117"/>
      <c r="N887" s="23"/>
      <c r="O887" s="23"/>
      <c r="P887" s="23"/>
    </row>
    <row r="888" spans="10:16" x14ac:dyDescent="0.25">
      <c r="J888" s="117"/>
      <c r="K888" s="117"/>
      <c r="L888" s="117"/>
      <c r="M888" s="117"/>
      <c r="N888" s="23"/>
      <c r="O888" s="23"/>
      <c r="P888" s="23"/>
    </row>
    <row r="889" spans="10:16" x14ac:dyDescent="0.25">
      <c r="J889" s="117"/>
      <c r="K889" s="117"/>
      <c r="L889" s="117"/>
      <c r="M889" s="117"/>
      <c r="N889" s="23"/>
      <c r="O889" s="23"/>
      <c r="P889" s="23"/>
    </row>
    <row r="890" spans="10:16" x14ac:dyDescent="0.25">
      <c r="J890" s="117"/>
      <c r="K890" s="117"/>
      <c r="L890" s="117"/>
      <c r="M890" s="117"/>
      <c r="N890" s="23"/>
      <c r="O890" s="23"/>
      <c r="P890" s="23"/>
    </row>
    <row r="891" spans="10:16" x14ac:dyDescent="0.25">
      <c r="J891" s="117"/>
      <c r="K891" s="117"/>
      <c r="L891" s="117"/>
      <c r="M891" s="117"/>
      <c r="N891" s="23"/>
      <c r="O891" s="23"/>
      <c r="P891" s="23"/>
    </row>
    <row r="892" spans="10:16" x14ac:dyDescent="0.25">
      <c r="J892" s="117"/>
      <c r="K892" s="117"/>
      <c r="L892" s="117"/>
      <c r="M892" s="117"/>
      <c r="N892" s="23"/>
      <c r="O892" s="23"/>
      <c r="P892" s="23"/>
    </row>
    <row r="893" spans="10:16" x14ac:dyDescent="0.25">
      <c r="J893" s="117"/>
      <c r="K893" s="117"/>
      <c r="L893" s="117"/>
      <c r="M893" s="117"/>
      <c r="N893" s="23"/>
      <c r="O893" s="23"/>
      <c r="P893" s="23"/>
    </row>
    <row r="894" spans="10:16" x14ac:dyDescent="0.25">
      <c r="J894" s="117"/>
      <c r="K894" s="117"/>
      <c r="L894" s="117"/>
      <c r="M894" s="117"/>
      <c r="N894" s="23"/>
      <c r="O894" s="23"/>
      <c r="P894" s="23"/>
    </row>
    <row r="895" spans="10:16" x14ac:dyDescent="0.25">
      <c r="J895" s="117"/>
      <c r="K895" s="117"/>
      <c r="L895" s="117"/>
      <c r="M895" s="117"/>
      <c r="N895" s="23"/>
      <c r="O895" s="23"/>
      <c r="P895" s="23"/>
    </row>
    <row r="896" spans="10:16" x14ac:dyDescent="0.25">
      <c r="J896" s="117"/>
      <c r="K896" s="117"/>
      <c r="L896" s="117"/>
      <c r="M896" s="117"/>
      <c r="N896" s="23"/>
      <c r="O896" s="23"/>
      <c r="P896" s="23"/>
    </row>
    <row r="897" spans="10:16" x14ac:dyDescent="0.25">
      <c r="J897" s="117"/>
      <c r="K897" s="117"/>
      <c r="L897" s="117"/>
      <c r="M897" s="117"/>
      <c r="N897" s="23"/>
      <c r="O897" s="23"/>
      <c r="P897" s="23"/>
    </row>
    <row r="898" spans="10:16" x14ac:dyDescent="0.25">
      <c r="J898" s="117"/>
      <c r="K898" s="117"/>
      <c r="L898" s="117"/>
      <c r="M898" s="117"/>
      <c r="N898" s="23"/>
      <c r="O898" s="23"/>
      <c r="P898" s="23"/>
    </row>
    <row r="899" spans="10:16" x14ac:dyDescent="0.25">
      <c r="J899" s="117"/>
      <c r="K899" s="117"/>
      <c r="L899" s="117"/>
      <c r="M899" s="117"/>
      <c r="N899" s="23"/>
      <c r="O899" s="23"/>
      <c r="P899" s="23"/>
    </row>
    <row r="900" spans="10:16" x14ac:dyDescent="0.25">
      <c r="J900" s="117"/>
      <c r="K900" s="117"/>
      <c r="L900" s="117"/>
      <c r="M900" s="117"/>
      <c r="N900" s="23"/>
      <c r="O900" s="23"/>
      <c r="P900" s="23"/>
    </row>
    <row r="901" spans="10:16" x14ac:dyDescent="0.25">
      <c r="J901" s="117"/>
      <c r="K901" s="117"/>
      <c r="L901" s="117"/>
      <c r="M901" s="117"/>
      <c r="N901" s="23"/>
      <c r="O901" s="23"/>
      <c r="P901" s="23"/>
    </row>
    <row r="902" spans="10:16" x14ac:dyDescent="0.25">
      <c r="J902" s="117"/>
      <c r="K902" s="117"/>
      <c r="L902" s="117"/>
      <c r="M902" s="117"/>
      <c r="N902" s="23"/>
      <c r="O902" s="23"/>
      <c r="P902" s="23"/>
    </row>
    <row r="903" spans="10:16" x14ac:dyDescent="0.25">
      <c r="J903" s="117"/>
      <c r="K903" s="117"/>
      <c r="L903" s="117"/>
      <c r="M903" s="117"/>
      <c r="N903" s="23"/>
      <c r="O903" s="23"/>
      <c r="P903" s="23"/>
    </row>
    <row r="904" spans="10:16" x14ac:dyDescent="0.25">
      <c r="J904" s="117"/>
      <c r="K904" s="117"/>
      <c r="L904" s="117"/>
      <c r="M904" s="117"/>
      <c r="N904" s="23"/>
      <c r="O904" s="23"/>
      <c r="P904" s="23"/>
    </row>
    <row r="905" spans="10:16" x14ac:dyDescent="0.25">
      <c r="J905" s="117"/>
      <c r="K905" s="117"/>
      <c r="L905" s="117"/>
      <c r="M905" s="117"/>
      <c r="N905" s="23"/>
      <c r="O905" s="23"/>
      <c r="P905" s="23"/>
    </row>
    <row r="906" spans="10:16" x14ac:dyDescent="0.25">
      <c r="J906" s="117"/>
      <c r="K906" s="117"/>
      <c r="L906" s="117"/>
      <c r="M906" s="117"/>
      <c r="N906" s="23"/>
      <c r="O906" s="23"/>
      <c r="P906" s="23"/>
    </row>
    <row r="907" spans="10:16" x14ac:dyDescent="0.25">
      <c r="J907" s="117"/>
      <c r="K907" s="117"/>
      <c r="L907" s="117"/>
      <c r="M907" s="117"/>
      <c r="N907" s="23"/>
      <c r="O907" s="23"/>
      <c r="P907" s="23"/>
    </row>
    <row r="908" spans="10:16" x14ac:dyDescent="0.25">
      <c r="J908" s="117"/>
      <c r="K908" s="117"/>
      <c r="L908" s="117"/>
      <c r="M908" s="117"/>
      <c r="N908" s="23"/>
      <c r="O908" s="23"/>
      <c r="P908" s="23"/>
    </row>
    <row r="909" spans="10:16" x14ac:dyDescent="0.25">
      <c r="J909" s="117"/>
      <c r="K909" s="117"/>
      <c r="L909" s="117"/>
      <c r="M909" s="117"/>
      <c r="N909" s="23"/>
      <c r="O909" s="23"/>
      <c r="P909" s="23"/>
    </row>
    <row r="910" spans="10:16" x14ac:dyDescent="0.25">
      <c r="J910" s="117"/>
      <c r="K910" s="117"/>
      <c r="L910" s="117"/>
      <c r="M910" s="117"/>
      <c r="N910" s="23"/>
      <c r="O910" s="23"/>
      <c r="P910" s="23"/>
    </row>
    <row r="911" spans="10:16" x14ac:dyDescent="0.25">
      <c r="J911" s="117"/>
      <c r="K911" s="117"/>
      <c r="L911" s="117"/>
      <c r="M911" s="117"/>
      <c r="N911" s="23"/>
      <c r="O911" s="23"/>
      <c r="P911" s="23"/>
    </row>
    <row r="912" spans="10:16" x14ac:dyDescent="0.25">
      <c r="J912" s="117"/>
      <c r="K912" s="117"/>
      <c r="L912" s="117"/>
      <c r="M912" s="117"/>
      <c r="N912" s="23"/>
      <c r="O912" s="23"/>
      <c r="P912" s="23"/>
    </row>
    <row r="913" spans="10:16" x14ac:dyDescent="0.25">
      <c r="J913" s="117"/>
      <c r="K913" s="117"/>
      <c r="L913" s="117"/>
      <c r="M913" s="117"/>
      <c r="N913" s="23"/>
      <c r="O913" s="23"/>
      <c r="P913" s="23"/>
    </row>
    <row r="914" spans="10:16" x14ac:dyDescent="0.25">
      <c r="J914" s="117"/>
      <c r="K914" s="117"/>
      <c r="L914" s="117"/>
      <c r="M914" s="117"/>
      <c r="N914" s="23"/>
      <c r="O914" s="23"/>
      <c r="P914" s="23"/>
    </row>
    <row r="915" spans="10:16" x14ac:dyDescent="0.25">
      <c r="J915" s="117"/>
      <c r="K915" s="117"/>
      <c r="L915" s="117"/>
      <c r="M915" s="117"/>
      <c r="N915" s="23"/>
      <c r="O915" s="23"/>
      <c r="P915" s="23"/>
    </row>
    <row r="916" spans="10:16" x14ac:dyDescent="0.25">
      <c r="J916" s="117"/>
      <c r="K916" s="117"/>
      <c r="L916" s="117"/>
      <c r="M916" s="117"/>
      <c r="N916" s="23"/>
      <c r="O916" s="23"/>
      <c r="P916" s="23"/>
    </row>
    <row r="917" spans="10:16" x14ac:dyDescent="0.25">
      <c r="J917" s="117"/>
      <c r="K917" s="117"/>
      <c r="L917" s="117"/>
      <c r="M917" s="117"/>
      <c r="N917" s="23"/>
      <c r="O917" s="23"/>
      <c r="P917" s="23"/>
    </row>
    <row r="918" spans="10:16" x14ac:dyDescent="0.25">
      <c r="J918" s="117"/>
      <c r="K918" s="117"/>
      <c r="L918" s="117"/>
      <c r="M918" s="117"/>
      <c r="N918" s="23"/>
      <c r="O918" s="23"/>
      <c r="P918" s="23"/>
    </row>
    <row r="919" spans="10:16" x14ac:dyDescent="0.25">
      <c r="J919" s="117"/>
      <c r="K919" s="117"/>
      <c r="L919" s="117"/>
      <c r="M919" s="117"/>
      <c r="N919" s="23"/>
      <c r="O919" s="23"/>
      <c r="P919" s="23"/>
    </row>
    <row r="920" spans="10:16" x14ac:dyDescent="0.25">
      <c r="J920" s="117"/>
      <c r="K920" s="117"/>
      <c r="L920" s="117"/>
      <c r="M920" s="117"/>
      <c r="N920" s="23"/>
      <c r="O920" s="23"/>
      <c r="P920" s="23"/>
    </row>
    <row r="921" spans="10:16" x14ac:dyDescent="0.25">
      <c r="J921" s="117"/>
      <c r="K921" s="117"/>
      <c r="L921" s="117"/>
      <c r="M921" s="117"/>
      <c r="N921" s="23"/>
      <c r="O921" s="23"/>
      <c r="P921" s="23"/>
    </row>
    <row r="922" spans="10:16" x14ac:dyDescent="0.25">
      <c r="J922" s="117"/>
      <c r="K922" s="117"/>
      <c r="L922" s="117"/>
      <c r="M922" s="117"/>
      <c r="N922" s="23"/>
      <c r="O922" s="23"/>
      <c r="P922" s="23"/>
    </row>
    <row r="923" spans="10:16" x14ac:dyDescent="0.25">
      <c r="J923" s="117"/>
      <c r="K923" s="117"/>
      <c r="L923" s="117"/>
      <c r="M923" s="117"/>
      <c r="N923" s="23"/>
      <c r="O923" s="23"/>
      <c r="P923" s="23"/>
    </row>
    <row r="924" spans="10:16" x14ac:dyDescent="0.25">
      <c r="J924" s="117"/>
      <c r="K924" s="117"/>
      <c r="L924" s="117"/>
      <c r="M924" s="117"/>
      <c r="N924" s="23"/>
      <c r="O924" s="23"/>
      <c r="P924" s="23"/>
    </row>
    <row r="925" spans="10:16" x14ac:dyDescent="0.25">
      <c r="J925" s="117"/>
      <c r="K925" s="117"/>
      <c r="L925" s="117"/>
      <c r="M925" s="117"/>
      <c r="N925" s="23"/>
      <c r="O925" s="23"/>
      <c r="P925" s="23"/>
    </row>
    <row r="926" spans="10:16" x14ac:dyDescent="0.25">
      <c r="J926" s="117"/>
      <c r="K926" s="117"/>
      <c r="L926" s="117"/>
      <c r="M926" s="117"/>
      <c r="N926" s="23"/>
      <c r="O926" s="23"/>
      <c r="P926" s="23"/>
    </row>
    <row r="927" spans="10:16" x14ac:dyDescent="0.25">
      <c r="J927" s="117"/>
      <c r="K927" s="117"/>
      <c r="L927" s="117"/>
      <c r="M927" s="117"/>
      <c r="N927" s="23"/>
      <c r="O927" s="23"/>
      <c r="P927" s="23"/>
    </row>
    <row r="928" spans="10:16" x14ac:dyDescent="0.25">
      <c r="J928" s="117"/>
      <c r="K928" s="117"/>
      <c r="L928" s="117"/>
      <c r="M928" s="117"/>
      <c r="N928" s="23"/>
      <c r="O928" s="23"/>
      <c r="P928" s="23"/>
    </row>
    <row r="929" spans="10:16" x14ac:dyDescent="0.25">
      <c r="J929" s="117"/>
      <c r="K929" s="117"/>
      <c r="L929" s="117"/>
      <c r="M929" s="117"/>
      <c r="N929" s="23"/>
      <c r="O929" s="23"/>
      <c r="P929" s="23"/>
    </row>
    <row r="930" spans="10:16" x14ac:dyDescent="0.25">
      <c r="J930" s="117"/>
      <c r="K930" s="117"/>
      <c r="L930" s="117"/>
      <c r="M930" s="117"/>
      <c r="N930" s="23"/>
      <c r="O930" s="23"/>
      <c r="P930" s="23"/>
    </row>
    <row r="931" spans="10:16" x14ac:dyDescent="0.25">
      <c r="J931" s="117"/>
      <c r="K931" s="117"/>
      <c r="L931" s="117"/>
      <c r="M931" s="117"/>
      <c r="N931" s="23"/>
      <c r="O931" s="23"/>
      <c r="P931" s="23"/>
    </row>
    <row r="932" spans="10:16" x14ac:dyDescent="0.25">
      <c r="J932" s="117"/>
      <c r="K932" s="117"/>
      <c r="L932" s="117"/>
      <c r="M932" s="117"/>
      <c r="N932" s="23"/>
      <c r="O932" s="23"/>
      <c r="P932" s="23"/>
    </row>
    <row r="933" spans="10:16" x14ac:dyDescent="0.25">
      <c r="J933" s="117"/>
      <c r="K933" s="117"/>
      <c r="L933" s="117"/>
      <c r="M933" s="117"/>
      <c r="N933" s="23"/>
      <c r="O933" s="23"/>
      <c r="P933" s="23"/>
    </row>
    <row r="934" spans="10:16" x14ac:dyDescent="0.25">
      <c r="J934" s="117"/>
      <c r="K934" s="117"/>
      <c r="L934" s="117"/>
      <c r="M934" s="117"/>
      <c r="N934" s="23"/>
      <c r="O934" s="23"/>
      <c r="P934" s="23"/>
    </row>
    <row r="935" spans="10:16" x14ac:dyDescent="0.25">
      <c r="J935" s="117"/>
      <c r="K935" s="117"/>
      <c r="L935" s="117"/>
      <c r="M935" s="117"/>
      <c r="N935" s="23"/>
      <c r="O935" s="23"/>
      <c r="P935" s="23"/>
    </row>
    <row r="936" spans="10:16" x14ac:dyDescent="0.25">
      <c r="J936" s="117"/>
      <c r="K936" s="117"/>
      <c r="L936" s="117"/>
      <c r="M936" s="117"/>
      <c r="N936" s="23"/>
      <c r="O936" s="23"/>
      <c r="P936" s="23"/>
    </row>
    <row r="937" spans="10:16" x14ac:dyDescent="0.25">
      <c r="J937" s="117"/>
      <c r="K937" s="117"/>
      <c r="L937" s="117"/>
      <c r="M937" s="117"/>
      <c r="N937" s="23"/>
      <c r="O937" s="23"/>
      <c r="P937" s="23"/>
    </row>
    <row r="938" spans="10:16" x14ac:dyDescent="0.25">
      <c r="J938" s="117"/>
      <c r="K938" s="117"/>
      <c r="L938" s="117"/>
      <c r="M938" s="117"/>
      <c r="N938" s="23"/>
      <c r="O938" s="23"/>
      <c r="P938" s="23"/>
    </row>
    <row r="939" spans="10:16" x14ac:dyDescent="0.25">
      <c r="J939" s="117"/>
      <c r="K939" s="117"/>
      <c r="L939" s="117"/>
      <c r="M939" s="117"/>
      <c r="N939" s="23"/>
      <c r="O939" s="23"/>
      <c r="P939" s="23"/>
    </row>
    <row r="940" spans="10:16" x14ac:dyDescent="0.25">
      <c r="J940" s="117"/>
      <c r="K940" s="117"/>
      <c r="L940" s="117"/>
      <c r="M940" s="117"/>
      <c r="N940" s="23"/>
      <c r="O940" s="23"/>
      <c r="P940" s="23"/>
    </row>
    <row r="941" spans="10:16" x14ac:dyDescent="0.25">
      <c r="J941" s="117"/>
      <c r="K941" s="117"/>
      <c r="L941" s="117"/>
      <c r="M941" s="117"/>
      <c r="N941" s="23"/>
      <c r="O941" s="23"/>
      <c r="P941" s="23"/>
    </row>
    <row r="942" spans="10:16" x14ac:dyDescent="0.25">
      <c r="J942" s="117"/>
      <c r="K942" s="117"/>
      <c r="L942" s="117"/>
      <c r="M942" s="117"/>
      <c r="N942" s="23"/>
      <c r="O942" s="23"/>
      <c r="P942" s="23"/>
    </row>
    <row r="943" spans="10:16" x14ac:dyDescent="0.25">
      <c r="J943" s="117"/>
      <c r="K943" s="117"/>
      <c r="L943" s="117"/>
      <c r="M943" s="117"/>
      <c r="N943" s="23"/>
      <c r="O943" s="23"/>
      <c r="P943" s="23"/>
    </row>
    <row r="944" spans="10:16" x14ac:dyDescent="0.25">
      <c r="J944" s="117"/>
      <c r="K944" s="117"/>
      <c r="L944" s="117"/>
      <c r="M944" s="117"/>
      <c r="N944" s="23"/>
      <c r="O944" s="23"/>
      <c r="P944" s="23"/>
    </row>
    <row r="945" spans="10:16" x14ac:dyDescent="0.25">
      <c r="J945" s="117"/>
      <c r="K945" s="117"/>
      <c r="L945" s="117"/>
      <c r="M945" s="117"/>
      <c r="N945" s="23"/>
      <c r="O945" s="23"/>
      <c r="P945" s="23"/>
    </row>
    <row r="946" spans="10:16" x14ac:dyDescent="0.25">
      <c r="J946" s="117"/>
      <c r="K946" s="117"/>
      <c r="L946" s="117"/>
      <c r="M946" s="117"/>
      <c r="N946" s="23"/>
      <c r="O946" s="23"/>
      <c r="P946" s="23"/>
    </row>
    <row r="947" spans="10:16" x14ac:dyDescent="0.25">
      <c r="J947" s="117"/>
      <c r="K947" s="117"/>
      <c r="L947" s="117"/>
      <c r="M947" s="117"/>
      <c r="N947" s="23"/>
      <c r="O947" s="23"/>
      <c r="P947" s="23"/>
    </row>
    <row r="948" spans="10:16" x14ac:dyDescent="0.25">
      <c r="J948" s="117"/>
      <c r="K948" s="117"/>
      <c r="L948" s="117"/>
      <c r="M948" s="117"/>
      <c r="N948" s="23"/>
      <c r="O948" s="23"/>
      <c r="P948" s="23"/>
    </row>
    <row r="949" spans="10:16" x14ac:dyDescent="0.25">
      <c r="J949" s="117"/>
      <c r="K949" s="117"/>
      <c r="L949" s="117"/>
      <c r="M949" s="117"/>
      <c r="N949" s="23"/>
      <c r="O949" s="23"/>
      <c r="P949" s="23"/>
    </row>
    <row r="950" spans="10:16" x14ac:dyDescent="0.25">
      <c r="J950" s="117"/>
      <c r="K950" s="117"/>
      <c r="L950" s="117"/>
      <c r="M950" s="117"/>
      <c r="N950" s="23"/>
      <c r="O950" s="23"/>
      <c r="P950" s="23"/>
    </row>
    <row r="951" spans="10:16" x14ac:dyDescent="0.25">
      <c r="J951" s="117"/>
      <c r="K951" s="117"/>
      <c r="L951" s="117"/>
      <c r="M951" s="117"/>
      <c r="N951" s="23"/>
      <c r="O951" s="23"/>
      <c r="P951" s="23"/>
    </row>
    <row r="952" spans="10:16" x14ac:dyDescent="0.25">
      <c r="J952" s="117"/>
      <c r="K952" s="117"/>
      <c r="L952" s="117"/>
      <c r="M952" s="117"/>
      <c r="N952" s="23"/>
      <c r="O952" s="23"/>
      <c r="P952" s="23"/>
    </row>
    <row r="953" spans="10:16" x14ac:dyDescent="0.25">
      <c r="J953" s="117"/>
      <c r="K953" s="117"/>
      <c r="L953" s="117"/>
      <c r="M953" s="117"/>
      <c r="N953" s="23"/>
      <c r="O953" s="23"/>
      <c r="P953" s="23"/>
    </row>
    <row r="954" spans="10:16" x14ac:dyDescent="0.25">
      <c r="J954" s="117"/>
      <c r="K954" s="117"/>
      <c r="L954" s="117"/>
      <c r="M954" s="117"/>
      <c r="N954" s="23"/>
      <c r="O954" s="23"/>
      <c r="P954" s="23"/>
    </row>
    <row r="955" spans="10:16" x14ac:dyDescent="0.25">
      <c r="J955" s="117"/>
      <c r="K955" s="117"/>
      <c r="L955" s="117"/>
      <c r="M955" s="117"/>
      <c r="N955" s="23"/>
      <c r="O955" s="23"/>
      <c r="P955" s="23"/>
    </row>
    <row r="956" spans="10:16" x14ac:dyDescent="0.25">
      <c r="J956" s="117"/>
      <c r="K956" s="117"/>
      <c r="L956" s="117"/>
      <c r="M956" s="117"/>
      <c r="N956" s="23"/>
      <c r="O956" s="23"/>
      <c r="P956" s="23"/>
    </row>
    <row r="957" spans="10:16" x14ac:dyDescent="0.25">
      <c r="J957" s="117"/>
      <c r="K957" s="117"/>
      <c r="L957" s="117"/>
      <c r="M957" s="117"/>
      <c r="N957" s="23"/>
      <c r="O957" s="23"/>
      <c r="P957" s="23"/>
    </row>
    <row r="958" spans="10:16" x14ac:dyDescent="0.25">
      <c r="J958" s="117"/>
      <c r="K958" s="117"/>
      <c r="L958" s="117"/>
      <c r="M958" s="117"/>
      <c r="N958" s="23"/>
      <c r="O958" s="23"/>
      <c r="P958" s="23"/>
    </row>
    <row r="959" spans="10:16" x14ac:dyDescent="0.25">
      <c r="J959" s="117"/>
      <c r="K959" s="117"/>
      <c r="L959" s="117"/>
      <c r="M959" s="117"/>
      <c r="N959" s="23"/>
      <c r="O959" s="23"/>
      <c r="P959" s="23"/>
    </row>
    <row r="960" spans="10:16" x14ac:dyDescent="0.25">
      <c r="J960" s="117"/>
      <c r="K960" s="117"/>
      <c r="L960" s="117"/>
      <c r="M960" s="117"/>
      <c r="N960" s="23"/>
      <c r="O960" s="23"/>
      <c r="P960" s="23"/>
    </row>
    <row r="961" spans="10:16" x14ac:dyDescent="0.25">
      <c r="J961" s="117"/>
      <c r="K961" s="117"/>
      <c r="L961" s="117"/>
      <c r="M961" s="117"/>
      <c r="N961" s="23"/>
      <c r="O961" s="23"/>
      <c r="P961" s="23"/>
    </row>
    <row r="962" spans="10:16" x14ac:dyDescent="0.25">
      <c r="J962" s="117"/>
      <c r="K962" s="117"/>
      <c r="L962" s="117"/>
      <c r="M962" s="117"/>
      <c r="N962" s="23"/>
      <c r="O962" s="23"/>
      <c r="P962" s="23"/>
    </row>
    <row r="963" spans="10:16" x14ac:dyDescent="0.25">
      <c r="J963" s="117"/>
      <c r="K963" s="117"/>
      <c r="L963" s="117"/>
      <c r="M963" s="117"/>
      <c r="N963" s="23"/>
      <c r="O963" s="23"/>
      <c r="P963" s="23"/>
    </row>
    <row r="964" spans="10:16" x14ac:dyDescent="0.25">
      <c r="J964" s="117"/>
      <c r="K964" s="117"/>
      <c r="L964" s="117"/>
      <c r="M964" s="117"/>
      <c r="N964" s="23"/>
      <c r="O964" s="23"/>
      <c r="P964" s="23"/>
    </row>
    <row r="965" spans="10:16" x14ac:dyDescent="0.25">
      <c r="J965" s="117"/>
      <c r="K965" s="117"/>
      <c r="L965" s="117"/>
      <c r="M965" s="117"/>
      <c r="N965" s="23"/>
      <c r="O965" s="23"/>
      <c r="P965" s="23"/>
    </row>
    <row r="966" spans="10:16" x14ac:dyDescent="0.25">
      <c r="J966" s="117"/>
      <c r="K966" s="117"/>
      <c r="L966" s="117"/>
      <c r="M966" s="117"/>
      <c r="N966" s="23"/>
      <c r="O966" s="23"/>
      <c r="P966" s="23"/>
    </row>
    <row r="967" spans="10:16" x14ac:dyDescent="0.25">
      <c r="J967" s="117"/>
      <c r="K967" s="117"/>
      <c r="L967" s="117"/>
      <c r="M967" s="117"/>
      <c r="N967" s="23"/>
      <c r="O967" s="23"/>
      <c r="P967" s="23"/>
    </row>
    <row r="968" spans="10:16" x14ac:dyDescent="0.25">
      <c r="J968" s="117"/>
      <c r="K968" s="117"/>
      <c r="L968" s="117"/>
      <c r="M968" s="117"/>
      <c r="N968" s="23"/>
      <c r="O968" s="23"/>
      <c r="P968" s="23"/>
    </row>
    <row r="969" spans="10:16" x14ac:dyDescent="0.25">
      <c r="J969" s="117"/>
      <c r="K969" s="117"/>
      <c r="L969" s="117"/>
      <c r="M969" s="117"/>
      <c r="N969" s="23"/>
      <c r="O969" s="23"/>
      <c r="P969" s="23"/>
    </row>
    <row r="970" spans="10:16" x14ac:dyDescent="0.25">
      <c r="J970" s="117"/>
      <c r="K970" s="117"/>
      <c r="L970" s="117"/>
      <c r="M970" s="117"/>
      <c r="N970" s="23"/>
      <c r="O970" s="23"/>
      <c r="P970" s="23"/>
    </row>
    <row r="971" spans="10:16" x14ac:dyDescent="0.25">
      <c r="J971" s="117"/>
      <c r="K971" s="117"/>
      <c r="L971" s="117"/>
      <c r="M971" s="117"/>
      <c r="N971" s="23"/>
      <c r="O971" s="23"/>
      <c r="P971" s="23"/>
    </row>
    <row r="972" spans="10:16" x14ac:dyDescent="0.25">
      <c r="J972" s="117"/>
      <c r="K972" s="117"/>
      <c r="L972" s="117"/>
      <c r="M972" s="117"/>
      <c r="N972" s="23"/>
      <c r="O972" s="23"/>
      <c r="P972" s="23"/>
    </row>
    <row r="973" spans="10:16" x14ac:dyDescent="0.25">
      <c r="J973" s="117"/>
      <c r="K973" s="117"/>
      <c r="L973" s="117"/>
      <c r="M973" s="117"/>
      <c r="N973" s="23"/>
      <c r="O973" s="23"/>
      <c r="P973" s="23"/>
    </row>
    <row r="974" spans="10:16" x14ac:dyDescent="0.25">
      <c r="J974" s="117"/>
      <c r="K974" s="117"/>
      <c r="L974" s="117"/>
      <c r="M974" s="117"/>
      <c r="N974" s="23"/>
      <c r="O974" s="23"/>
      <c r="P974" s="23"/>
    </row>
    <row r="975" spans="10:16" x14ac:dyDescent="0.25">
      <c r="J975" s="117"/>
      <c r="K975" s="117"/>
      <c r="L975" s="117"/>
      <c r="M975" s="117"/>
      <c r="N975" s="23"/>
      <c r="O975" s="23"/>
      <c r="P975" s="23"/>
    </row>
    <row r="976" spans="10:16" x14ac:dyDescent="0.25">
      <c r="J976" s="117"/>
      <c r="K976" s="117"/>
      <c r="L976" s="117"/>
      <c r="M976" s="117"/>
      <c r="N976" s="23"/>
      <c r="O976" s="23"/>
      <c r="P976" s="23"/>
    </row>
    <row r="977" spans="10:16" x14ac:dyDescent="0.25">
      <c r="J977" s="117"/>
      <c r="K977" s="117"/>
      <c r="L977" s="117"/>
      <c r="M977" s="117"/>
      <c r="N977" s="23"/>
      <c r="O977" s="23"/>
      <c r="P977" s="23"/>
    </row>
    <row r="978" spans="10:16" x14ac:dyDescent="0.25">
      <c r="J978" s="117"/>
      <c r="K978" s="117"/>
      <c r="L978" s="117"/>
      <c r="M978" s="117"/>
      <c r="N978" s="23"/>
      <c r="O978" s="23"/>
      <c r="P978" s="23"/>
    </row>
    <row r="979" spans="10:16" x14ac:dyDescent="0.25">
      <c r="J979" s="117"/>
      <c r="K979" s="117"/>
      <c r="L979" s="117"/>
      <c r="M979" s="117"/>
      <c r="N979" s="23"/>
      <c r="O979" s="23"/>
      <c r="P979" s="23"/>
    </row>
    <row r="980" spans="10:16" x14ac:dyDescent="0.25">
      <c r="J980" s="117"/>
      <c r="K980" s="117"/>
      <c r="L980" s="117"/>
      <c r="M980" s="117"/>
      <c r="N980" s="23"/>
      <c r="O980" s="23"/>
      <c r="P980" s="23"/>
    </row>
    <row r="981" spans="10:16" x14ac:dyDescent="0.25">
      <c r="J981" s="117"/>
      <c r="K981" s="117"/>
      <c r="L981" s="117"/>
      <c r="M981" s="117"/>
      <c r="N981" s="23"/>
      <c r="O981" s="23"/>
      <c r="P981" s="23"/>
    </row>
    <row r="982" spans="10:16" x14ac:dyDescent="0.25">
      <c r="J982" s="117"/>
      <c r="K982" s="117"/>
      <c r="L982" s="117"/>
      <c r="M982" s="117"/>
      <c r="N982" s="23"/>
      <c r="O982" s="23"/>
      <c r="P982" s="23"/>
    </row>
    <row r="983" spans="10:16" x14ac:dyDescent="0.25">
      <c r="J983" s="117"/>
      <c r="K983" s="117"/>
      <c r="L983" s="117"/>
      <c r="M983" s="117"/>
      <c r="N983" s="23"/>
      <c r="O983" s="23"/>
      <c r="P983" s="23"/>
    </row>
    <row r="984" spans="10:16" x14ac:dyDescent="0.25">
      <c r="J984" s="117"/>
      <c r="K984" s="117"/>
      <c r="L984" s="117"/>
      <c r="M984" s="117"/>
      <c r="N984" s="23"/>
      <c r="O984" s="23"/>
      <c r="P984" s="23"/>
    </row>
    <row r="985" spans="10:16" x14ac:dyDescent="0.25">
      <c r="J985" s="117"/>
      <c r="K985" s="117"/>
      <c r="L985" s="117"/>
      <c r="M985" s="117"/>
      <c r="N985" s="23"/>
      <c r="O985" s="23"/>
      <c r="P985" s="23"/>
    </row>
    <row r="986" spans="10:16" x14ac:dyDescent="0.25">
      <c r="J986" s="117"/>
      <c r="K986" s="117"/>
      <c r="L986" s="117"/>
      <c r="M986" s="117"/>
      <c r="N986" s="23"/>
      <c r="O986" s="23"/>
      <c r="P986" s="23"/>
    </row>
    <row r="987" spans="10:16" x14ac:dyDescent="0.25">
      <c r="J987" s="117"/>
      <c r="K987" s="117"/>
      <c r="L987" s="117"/>
      <c r="M987" s="117"/>
      <c r="N987" s="23"/>
      <c r="O987" s="23"/>
      <c r="P987" s="23"/>
    </row>
    <row r="988" spans="10:16" x14ac:dyDescent="0.25">
      <c r="J988" s="117"/>
      <c r="K988" s="117"/>
      <c r="L988" s="117"/>
      <c r="M988" s="117"/>
      <c r="N988" s="23"/>
      <c r="O988" s="23"/>
      <c r="P988" s="23"/>
    </row>
    <row r="989" spans="10:16" x14ac:dyDescent="0.25">
      <c r="J989" s="117"/>
      <c r="K989" s="117"/>
      <c r="L989" s="117"/>
      <c r="M989" s="117"/>
      <c r="N989" s="23"/>
      <c r="O989" s="23"/>
      <c r="P989" s="23"/>
    </row>
    <row r="990" spans="10:16" x14ac:dyDescent="0.25">
      <c r="J990" s="117"/>
      <c r="K990" s="117"/>
      <c r="L990" s="117"/>
      <c r="M990" s="117"/>
      <c r="N990" s="23"/>
      <c r="O990" s="23"/>
      <c r="P990" s="23"/>
    </row>
    <row r="991" spans="10:16" x14ac:dyDescent="0.25">
      <c r="J991" s="117"/>
      <c r="K991" s="117"/>
      <c r="L991" s="117"/>
      <c r="M991" s="117"/>
      <c r="N991" s="23"/>
      <c r="O991" s="23"/>
      <c r="P991" s="23"/>
    </row>
    <row r="992" spans="10:16" x14ac:dyDescent="0.25">
      <c r="J992" s="117"/>
      <c r="K992" s="117"/>
      <c r="L992" s="117"/>
      <c r="M992" s="117"/>
      <c r="N992" s="23"/>
      <c r="O992" s="23"/>
      <c r="P992" s="23"/>
    </row>
    <row r="993" spans="10:16" x14ac:dyDescent="0.25">
      <c r="J993" s="117"/>
      <c r="K993" s="117"/>
      <c r="L993" s="117"/>
      <c r="M993" s="117"/>
      <c r="N993" s="23"/>
      <c r="O993" s="23"/>
      <c r="P993" s="23"/>
    </row>
    <row r="994" spans="10:16" x14ac:dyDescent="0.25">
      <c r="J994" s="117"/>
      <c r="K994" s="117"/>
      <c r="L994" s="117"/>
      <c r="M994" s="117"/>
      <c r="N994" s="23"/>
      <c r="O994" s="23"/>
      <c r="P994" s="23"/>
    </row>
    <row r="995" spans="10:16" x14ac:dyDescent="0.25">
      <c r="J995" s="117"/>
      <c r="K995" s="117"/>
      <c r="L995" s="117"/>
      <c r="M995" s="117"/>
      <c r="N995" s="23"/>
      <c r="O995" s="23"/>
      <c r="P995" s="23"/>
    </row>
    <row r="996" spans="10:16" x14ac:dyDescent="0.25">
      <c r="J996" s="117"/>
      <c r="K996" s="117"/>
      <c r="L996" s="117"/>
      <c r="M996" s="117"/>
      <c r="N996" s="23"/>
      <c r="O996" s="23"/>
      <c r="P996" s="23"/>
    </row>
    <row r="997" spans="10:16" x14ac:dyDescent="0.25">
      <c r="J997" s="117"/>
      <c r="K997" s="117"/>
      <c r="L997" s="117"/>
      <c r="M997" s="117"/>
      <c r="N997" s="23"/>
      <c r="O997" s="23"/>
      <c r="P997" s="23"/>
    </row>
    <row r="998" spans="10:16" x14ac:dyDescent="0.25">
      <c r="J998" s="117"/>
      <c r="K998" s="117"/>
      <c r="L998" s="117"/>
      <c r="M998" s="117"/>
      <c r="N998" s="23"/>
      <c r="O998" s="23"/>
      <c r="P998" s="23"/>
    </row>
    <row r="999" spans="10:16" x14ac:dyDescent="0.25">
      <c r="J999" s="117"/>
      <c r="K999" s="117"/>
      <c r="L999" s="117"/>
      <c r="M999" s="117"/>
      <c r="N999" s="23"/>
      <c r="O999" s="23"/>
      <c r="P999" s="23"/>
    </row>
    <row r="1000" spans="10:16" x14ac:dyDescent="0.25">
      <c r="J1000" s="117"/>
      <c r="K1000" s="117"/>
      <c r="L1000" s="117"/>
      <c r="M1000" s="117"/>
      <c r="N1000" s="23"/>
      <c r="O1000" s="23"/>
      <c r="P1000" s="23"/>
    </row>
    <row r="1001" spans="10:16" x14ac:dyDescent="0.25">
      <c r="J1001" s="117"/>
      <c r="K1001" s="117"/>
      <c r="L1001" s="117"/>
      <c r="M1001" s="117"/>
      <c r="N1001" s="23"/>
      <c r="O1001" s="23"/>
      <c r="P1001" s="23"/>
    </row>
    <row r="1002" spans="10:16" x14ac:dyDescent="0.25">
      <c r="J1002" s="117"/>
      <c r="K1002" s="117"/>
      <c r="L1002" s="117"/>
      <c r="M1002" s="117"/>
      <c r="N1002" s="23"/>
      <c r="O1002" s="23"/>
      <c r="P1002" s="23"/>
    </row>
    <row r="1003" spans="10:16" x14ac:dyDescent="0.25">
      <c r="J1003" s="117"/>
      <c r="K1003" s="117"/>
      <c r="L1003" s="117"/>
      <c r="M1003" s="117"/>
      <c r="N1003" s="23"/>
      <c r="O1003" s="23"/>
      <c r="P1003" s="23"/>
    </row>
    <row r="1004" spans="10:16" x14ac:dyDescent="0.25">
      <c r="J1004" s="117"/>
      <c r="K1004" s="117"/>
      <c r="L1004" s="117"/>
      <c r="M1004" s="117"/>
      <c r="N1004" s="23"/>
      <c r="O1004" s="23"/>
      <c r="P1004" s="23"/>
    </row>
    <row r="1005" spans="10:16" x14ac:dyDescent="0.25">
      <c r="J1005" s="117"/>
      <c r="K1005" s="117"/>
      <c r="L1005" s="117"/>
      <c r="M1005" s="117"/>
      <c r="N1005" s="23"/>
      <c r="O1005" s="23"/>
      <c r="P1005" s="23"/>
    </row>
    <row r="1006" spans="10:16" x14ac:dyDescent="0.25">
      <c r="J1006" s="117"/>
      <c r="K1006" s="117"/>
      <c r="L1006" s="117"/>
      <c r="M1006" s="117"/>
      <c r="N1006" s="23"/>
      <c r="O1006" s="23"/>
      <c r="P1006" s="23"/>
    </row>
    <row r="1007" spans="10:16" x14ac:dyDescent="0.25">
      <c r="J1007" s="117"/>
      <c r="K1007" s="117"/>
      <c r="L1007" s="117"/>
      <c r="M1007" s="117"/>
      <c r="N1007" s="23"/>
      <c r="O1007" s="23"/>
      <c r="P1007" s="23"/>
    </row>
    <row r="1008" spans="10:16" x14ac:dyDescent="0.25">
      <c r="J1008" s="117"/>
      <c r="K1008" s="117"/>
      <c r="L1008" s="117"/>
      <c r="M1008" s="117"/>
      <c r="N1008" s="23"/>
      <c r="O1008" s="23"/>
      <c r="P1008" s="23"/>
    </row>
    <row r="1009" spans="10:16" x14ac:dyDescent="0.25">
      <c r="J1009" s="117"/>
      <c r="K1009" s="117"/>
      <c r="L1009" s="117"/>
      <c r="M1009" s="117"/>
      <c r="N1009" s="23"/>
      <c r="O1009" s="23"/>
      <c r="P1009" s="23"/>
    </row>
    <row r="1010" spans="10:16" x14ac:dyDescent="0.25">
      <c r="J1010" s="117"/>
      <c r="K1010" s="117"/>
      <c r="L1010" s="117"/>
      <c r="M1010" s="117"/>
      <c r="N1010" s="23"/>
      <c r="O1010" s="23"/>
      <c r="P1010" s="23"/>
    </row>
    <row r="1011" spans="10:16" x14ac:dyDescent="0.25">
      <c r="J1011" s="117"/>
      <c r="K1011" s="117"/>
      <c r="L1011" s="117"/>
      <c r="M1011" s="117"/>
      <c r="N1011" s="23"/>
      <c r="O1011" s="23"/>
      <c r="P1011" s="23"/>
    </row>
    <row r="1012" spans="10:16" x14ac:dyDescent="0.25">
      <c r="J1012" s="117"/>
      <c r="K1012" s="117"/>
      <c r="L1012" s="117"/>
      <c r="M1012" s="117"/>
      <c r="N1012" s="23"/>
      <c r="O1012" s="23"/>
      <c r="P1012" s="23"/>
    </row>
    <row r="1013" spans="10:16" x14ac:dyDescent="0.25">
      <c r="J1013" s="117"/>
      <c r="K1013" s="117"/>
      <c r="L1013" s="117"/>
      <c r="M1013" s="117"/>
      <c r="N1013" s="23"/>
      <c r="O1013" s="23"/>
      <c r="P1013" s="23"/>
    </row>
    <row r="1014" spans="10:16" x14ac:dyDescent="0.25">
      <c r="J1014" s="117"/>
      <c r="K1014" s="117"/>
      <c r="L1014" s="117"/>
      <c r="M1014" s="117"/>
      <c r="N1014" s="23"/>
      <c r="O1014" s="23"/>
      <c r="P1014" s="23"/>
    </row>
    <row r="1015" spans="10:16" x14ac:dyDescent="0.25">
      <c r="J1015" s="117"/>
      <c r="K1015" s="117"/>
      <c r="L1015" s="117"/>
      <c r="M1015" s="117"/>
      <c r="N1015" s="23"/>
      <c r="O1015" s="23"/>
      <c r="P1015" s="23"/>
    </row>
    <row r="1016" spans="10:16" x14ac:dyDescent="0.25">
      <c r="J1016" s="117"/>
      <c r="K1016" s="117"/>
      <c r="L1016" s="117"/>
      <c r="M1016" s="117"/>
      <c r="N1016" s="23"/>
      <c r="O1016" s="23"/>
      <c r="P1016" s="23"/>
    </row>
    <row r="1017" spans="10:16" x14ac:dyDescent="0.25">
      <c r="J1017" s="117"/>
      <c r="K1017" s="117"/>
      <c r="L1017" s="117"/>
      <c r="M1017" s="117"/>
      <c r="N1017" s="23"/>
      <c r="O1017" s="23"/>
      <c r="P1017" s="23"/>
    </row>
    <row r="1018" spans="10:16" x14ac:dyDescent="0.25">
      <c r="J1018" s="117"/>
      <c r="K1018" s="117"/>
      <c r="L1018" s="117"/>
      <c r="M1018" s="117"/>
      <c r="N1018" s="23"/>
      <c r="O1018" s="23"/>
      <c r="P1018" s="23"/>
    </row>
    <row r="1019" spans="10:16" x14ac:dyDescent="0.25">
      <c r="J1019" s="117"/>
      <c r="K1019" s="117"/>
      <c r="L1019" s="117"/>
      <c r="M1019" s="117"/>
      <c r="N1019" s="23"/>
      <c r="O1019" s="23"/>
      <c r="P1019" s="23"/>
    </row>
    <row r="1020" spans="10:16" x14ac:dyDescent="0.25">
      <c r="J1020" s="117"/>
      <c r="K1020" s="117"/>
      <c r="L1020" s="117"/>
      <c r="M1020" s="117"/>
      <c r="N1020" s="23"/>
      <c r="O1020" s="23"/>
      <c r="P1020" s="23"/>
    </row>
    <row r="1021" spans="10:16" x14ac:dyDescent="0.25">
      <c r="J1021" s="117"/>
      <c r="K1021" s="117"/>
      <c r="L1021" s="117"/>
      <c r="M1021" s="117"/>
      <c r="N1021" s="23"/>
      <c r="O1021" s="23"/>
      <c r="P1021" s="23"/>
    </row>
    <row r="1022" spans="10:16" x14ac:dyDescent="0.25">
      <c r="J1022" s="117"/>
      <c r="K1022" s="117"/>
      <c r="L1022" s="117"/>
      <c r="M1022" s="117"/>
      <c r="N1022" s="23"/>
      <c r="O1022" s="23"/>
      <c r="P1022" s="23"/>
    </row>
    <row r="1023" spans="10:16" x14ac:dyDescent="0.25">
      <c r="J1023" s="117"/>
      <c r="K1023" s="117"/>
      <c r="L1023" s="117"/>
      <c r="M1023" s="117"/>
      <c r="N1023" s="23"/>
      <c r="O1023" s="23"/>
      <c r="P1023" s="23"/>
    </row>
    <row r="1024" spans="10:16" x14ac:dyDescent="0.25">
      <c r="J1024" s="117"/>
      <c r="K1024" s="117"/>
      <c r="L1024" s="117"/>
      <c r="M1024" s="117"/>
      <c r="N1024" s="23"/>
      <c r="O1024" s="23"/>
      <c r="P1024" s="23"/>
    </row>
    <row r="1025" spans="10:16" x14ac:dyDescent="0.25">
      <c r="J1025" s="117"/>
      <c r="K1025" s="117"/>
      <c r="L1025" s="117"/>
      <c r="M1025" s="117"/>
      <c r="N1025" s="23"/>
      <c r="O1025" s="23"/>
      <c r="P1025" s="23"/>
    </row>
    <row r="1026" spans="10:16" x14ac:dyDescent="0.25">
      <c r="J1026" s="117"/>
      <c r="K1026" s="117"/>
      <c r="L1026" s="117"/>
      <c r="M1026" s="117"/>
      <c r="N1026" s="23"/>
      <c r="O1026" s="23"/>
      <c r="P1026" s="23"/>
    </row>
    <row r="1027" spans="10:16" x14ac:dyDescent="0.25">
      <c r="J1027" s="117"/>
      <c r="K1027" s="117"/>
      <c r="L1027" s="117"/>
      <c r="M1027" s="117"/>
      <c r="N1027" s="23"/>
      <c r="O1027" s="23"/>
      <c r="P1027" s="23"/>
    </row>
    <row r="1028" spans="10:16" x14ac:dyDescent="0.25">
      <c r="J1028" s="117"/>
      <c r="K1028" s="117"/>
      <c r="L1028" s="117"/>
      <c r="M1028" s="117"/>
      <c r="N1028" s="23"/>
      <c r="O1028" s="23"/>
      <c r="P1028" s="23"/>
    </row>
    <row r="1029" spans="10:16" x14ac:dyDescent="0.25">
      <c r="J1029" s="117"/>
      <c r="K1029" s="117"/>
      <c r="L1029" s="117"/>
      <c r="M1029" s="117"/>
      <c r="N1029" s="23"/>
      <c r="O1029" s="23"/>
      <c r="P1029" s="23"/>
    </row>
    <row r="1030" spans="10:16" x14ac:dyDescent="0.25">
      <c r="J1030" s="117"/>
      <c r="K1030" s="117"/>
      <c r="L1030" s="117"/>
      <c r="M1030" s="117"/>
      <c r="N1030" s="23"/>
      <c r="O1030" s="23"/>
      <c r="P1030" s="23"/>
    </row>
    <row r="1031" spans="10:16" x14ac:dyDescent="0.25">
      <c r="J1031" s="117"/>
      <c r="K1031" s="117"/>
      <c r="L1031" s="117"/>
      <c r="M1031" s="117"/>
      <c r="N1031" s="23"/>
      <c r="O1031" s="23"/>
      <c r="P1031" s="23"/>
    </row>
    <row r="1032" spans="10:16" x14ac:dyDescent="0.25">
      <c r="J1032" s="117"/>
      <c r="K1032" s="117"/>
      <c r="L1032" s="117"/>
      <c r="M1032" s="117"/>
      <c r="N1032" s="23"/>
      <c r="O1032" s="23"/>
      <c r="P1032" s="23"/>
    </row>
    <row r="1033" spans="10:16" x14ac:dyDescent="0.25">
      <c r="J1033" s="117"/>
      <c r="K1033" s="117"/>
      <c r="L1033" s="117"/>
      <c r="M1033" s="117"/>
      <c r="N1033" s="23"/>
      <c r="O1033" s="23"/>
      <c r="P1033" s="23"/>
    </row>
    <row r="1034" spans="10:16" x14ac:dyDescent="0.25">
      <c r="J1034" s="117"/>
      <c r="K1034" s="117"/>
      <c r="L1034" s="117"/>
      <c r="M1034" s="117"/>
      <c r="N1034" s="23"/>
      <c r="O1034" s="23"/>
      <c r="P1034" s="23"/>
    </row>
    <row r="1035" spans="10:16" x14ac:dyDescent="0.25">
      <c r="J1035" s="117"/>
      <c r="K1035" s="117"/>
      <c r="L1035" s="117"/>
      <c r="M1035" s="117"/>
      <c r="N1035" s="23"/>
      <c r="O1035" s="23"/>
      <c r="P1035" s="23"/>
    </row>
    <row r="1036" spans="10:16" x14ac:dyDescent="0.25">
      <c r="J1036" s="117"/>
      <c r="K1036" s="117"/>
      <c r="L1036" s="117"/>
      <c r="M1036" s="117"/>
      <c r="N1036" s="23"/>
      <c r="O1036" s="23"/>
      <c r="P1036" s="23"/>
    </row>
    <row r="1037" spans="10:16" x14ac:dyDescent="0.25">
      <c r="J1037" s="117"/>
      <c r="K1037" s="117"/>
      <c r="L1037" s="117"/>
      <c r="M1037" s="117"/>
      <c r="N1037" s="23"/>
      <c r="O1037" s="23"/>
      <c r="P1037" s="23"/>
    </row>
    <row r="1038" spans="10:16" x14ac:dyDescent="0.25">
      <c r="J1038" s="117"/>
      <c r="K1038" s="117"/>
      <c r="L1038" s="117"/>
      <c r="M1038" s="117"/>
      <c r="N1038" s="23"/>
      <c r="O1038" s="23"/>
      <c r="P1038" s="23"/>
    </row>
    <row r="1039" spans="10:16" x14ac:dyDescent="0.25">
      <c r="J1039" s="117"/>
      <c r="K1039" s="117"/>
      <c r="L1039" s="117"/>
      <c r="M1039" s="117"/>
      <c r="N1039" s="23"/>
      <c r="O1039" s="23"/>
      <c r="P1039" s="23"/>
    </row>
    <row r="1040" spans="10:16" x14ac:dyDescent="0.25">
      <c r="J1040" s="117"/>
      <c r="K1040" s="117"/>
      <c r="L1040" s="117"/>
      <c r="M1040" s="117"/>
      <c r="N1040" s="23"/>
      <c r="O1040" s="23"/>
      <c r="P1040" s="23"/>
    </row>
    <row r="1041" spans="10:16" x14ac:dyDescent="0.25">
      <c r="J1041" s="117"/>
      <c r="K1041" s="117"/>
      <c r="L1041" s="117"/>
      <c r="M1041" s="117"/>
      <c r="N1041" s="23"/>
      <c r="O1041" s="23"/>
      <c r="P1041" s="23"/>
    </row>
    <row r="1042" spans="10:16" x14ac:dyDescent="0.25">
      <c r="J1042" s="117"/>
      <c r="K1042" s="117"/>
      <c r="L1042" s="117"/>
      <c r="M1042" s="117"/>
      <c r="N1042" s="23"/>
      <c r="O1042" s="23"/>
      <c r="P1042" s="23"/>
    </row>
    <row r="1043" spans="10:16" x14ac:dyDescent="0.25">
      <c r="J1043" s="117"/>
      <c r="K1043" s="117"/>
      <c r="L1043" s="117"/>
      <c r="M1043" s="117"/>
      <c r="N1043" s="23"/>
      <c r="O1043" s="23"/>
      <c r="P1043" s="23"/>
    </row>
    <row r="1044" spans="10:16" x14ac:dyDescent="0.25">
      <c r="J1044" s="117"/>
      <c r="K1044" s="117"/>
      <c r="L1044" s="117"/>
      <c r="M1044" s="117"/>
      <c r="N1044" s="23"/>
      <c r="O1044" s="23"/>
      <c r="P1044" s="23"/>
    </row>
    <row r="1045" spans="10:16" x14ac:dyDescent="0.25">
      <c r="J1045" s="117"/>
      <c r="K1045" s="117"/>
      <c r="L1045" s="117"/>
      <c r="M1045" s="117"/>
      <c r="N1045" s="23"/>
      <c r="O1045" s="23"/>
      <c r="P1045" s="23"/>
    </row>
    <row r="1046" spans="10:16" x14ac:dyDescent="0.25">
      <c r="J1046" s="117"/>
      <c r="K1046" s="117"/>
      <c r="L1046" s="117"/>
      <c r="M1046" s="117"/>
      <c r="N1046" s="23"/>
      <c r="O1046" s="23"/>
      <c r="P1046" s="23"/>
    </row>
    <row r="1047" spans="10:16" x14ac:dyDescent="0.25">
      <c r="J1047" s="117"/>
      <c r="K1047" s="117"/>
      <c r="L1047" s="117"/>
      <c r="M1047" s="117"/>
      <c r="N1047" s="23"/>
      <c r="O1047" s="23"/>
      <c r="P1047" s="23"/>
    </row>
    <row r="1048" spans="10:16" x14ac:dyDescent="0.25">
      <c r="J1048" s="117"/>
      <c r="K1048" s="117"/>
      <c r="L1048" s="117"/>
      <c r="M1048" s="117"/>
      <c r="N1048" s="23"/>
      <c r="O1048" s="23"/>
      <c r="P1048" s="23"/>
    </row>
    <row r="1049" spans="10:16" x14ac:dyDescent="0.25">
      <c r="J1049" s="117"/>
      <c r="K1049" s="117"/>
      <c r="L1049" s="117"/>
      <c r="M1049" s="117"/>
      <c r="N1049" s="23"/>
      <c r="O1049" s="23"/>
      <c r="P1049" s="23"/>
    </row>
    <row r="1050" spans="10:16" x14ac:dyDescent="0.25">
      <c r="J1050" s="117"/>
      <c r="K1050" s="117"/>
      <c r="L1050" s="117"/>
      <c r="M1050" s="117"/>
      <c r="N1050" s="23"/>
      <c r="O1050" s="23"/>
      <c r="P1050" s="23"/>
    </row>
    <row r="1051" spans="10:16" x14ac:dyDescent="0.25">
      <c r="J1051" s="117"/>
      <c r="K1051" s="117"/>
      <c r="L1051" s="117"/>
      <c r="M1051" s="117"/>
      <c r="N1051" s="23"/>
      <c r="O1051" s="23"/>
      <c r="P1051" s="23"/>
    </row>
    <row r="1052" spans="10:16" x14ac:dyDescent="0.25">
      <c r="J1052" s="117"/>
      <c r="K1052" s="117"/>
      <c r="L1052" s="117"/>
      <c r="M1052" s="117"/>
      <c r="N1052" s="23"/>
      <c r="O1052" s="23"/>
      <c r="P1052" s="23"/>
    </row>
    <row r="1053" spans="10:16" x14ac:dyDescent="0.25">
      <c r="J1053" s="117"/>
      <c r="K1053" s="117"/>
      <c r="L1053" s="117"/>
      <c r="M1053" s="117"/>
      <c r="N1053" s="23"/>
      <c r="O1053" s="23"/>
      <c r="P1053" s="23"/>
    </row>
    <row r="1054" spans="10:16" x14ac:dyDescent="0.25">
      <c r="J1054" s="117"/>
      <c r="K1054" s="117"/>
      <c r="L1054" s="117"/>
      <c r="M1054" s="117"/>
      <c r="N1054" s="23"/>
      <c r="O1054" s="23"/>
      <c r="P1054" s="23"/>
    </row>
    <row r="1055" spans="10:16" x14ac:dyDescent="0.25">
      <c r="J1055" s="117"/>
      <c r="K1055" s="117"/>
      <c r="L1055" s="117"/>
      <c r="M1055" s="117"/>
      <c r="N1055" s="23"/>
      <c r="O1055" s="23"/>
      <c r="P1055" s="23"/>
    </row>
    <row r="1056" spans="10:16" x14ac:dyDescent="0.25">
      <c r="J1056" s="117"/>
      <c r="K1056" s="117"/>
      <c r="L1056" s="117"/>
      <c r="M1056" s="117"/>
      <c r="N1056" s="23"/>
      <c r="O1056" s="23"/>
      <c r="P1056" s="23"/>
    </row>
    <row r="1057" spans="10:16" x14ac:dyDescent="0.25">
      <c r="J1057" s="117"/>
      <c r="K1057" s="117"/>
      <c r="L1057" s="117"/>
      <c r="M1057" s="117"/>
      <c r="N1057" s="23"/>
      <c r="O1057" s="23"/>
      <c r="P1057" s="23"/>
    </row>
    <row r="1058" spans="10:16" x14ac:dyDescent="0.25">
      <c r="J1058" s="117"/>
      <c r="K1058" s="117"/>
      <c r="L1058" s="117"/>
      <c r="M1058" s="117"/>
      <c r="N1058" s="23"/>
      <c r="O1058" s="23"/>
      <c r="P1058" s="23"/>
    </row>
    <row r="1059" spans="10:16" x14ac:dyDescent="0.25">
      <c r="J1059" s="117"/>
      <c r="K1059" s="117"/>
      <c r="L1059" s="117"/>
      <c r="M1059" s="117"/>
      <c r="N1059" s="23"/>
      <c r="O1059" s="23"/>
      <c r="P1059" s="23"/>
    </row>
    <row r="1060" spans="10:16" x14ac:dyDescent="0.25">
      <c r="J1060" s="117"/>
      <c r="K1060" s="117"/>
      <c r="L1060" s="117"/>
      <c r="M1060" s="117"/>
      <c r="N1060" s="23"/>
      <c r="O1060" s="23"/>
      <c r="P1060" s="23"/>
    </row>
    <row r="1061" spans="10:16" x14ac:dyDescent="0.25">
      <c r="J1061" s="117"/>
      <c r="K1061" s="117"/>
      <c r="L1061" s="117"/>
      <c r="M1061" s="117"/>
      <c r="N1061" s="23"/>
      <c r="O1061" s="23"/>
      <c r="P1061" s="23"/>
    </row>
    <row r="1062" spans="10:16" x14ac:dyDescent="0.25">
      <c r="J1062" s="117"/>
      <c r="K1062" s="117"/>
      <c r="L1062" s="117"/>
      <c r="M1062" s="117"/>
      <c r="N1062" s="23"/>
      <c r="O1062" s="23"/>
      <c r="P1062" s="23"/>
    </row>
    <row r="1063" spans="10:16" x14ac:dyDescent="0.25">
      <c r="J1063" s="117"/>
      <c r="K1063" s="117"/>
      <c r="L1063" s="117"/>
      <c r="M1063" s="117"/>
      <c r="N1063" s="23"/>
      <c r="O1063" s="23"/>
      <c r="P1063" s="23"/>
    </row>
    <row r="1064" spans="10:16" x14ac:dyDescent="0.25">
      <c r="J1064" s="117"/>
      <c r="K1064" s="117"/>
      <c r="L1064" s="117"/>
      <c r="M1064" s="117"/>
      <c r="N1064" s="23"/>
      <c r="O1064" s="23"/>
      <c r="P1064" s="23"/>
    </row>
    <row r="1065" spans="10:16" x14ac:dyDescent="0.25">
      <c r="J1065" s="117"/>
      <c r="K1065" s="117"/>
      <c r="L1065" s="117"/>
      <c r="M1065" s="117"/>
      <c r="N1065" s="23"/>
      <c r="O1065" s="23"/>
      <c r="P1065" s="23"/>
    </row>
    <row r="1066" spans="10:16" x14ac:dyDescent="0.25">
      <c r="J1066" s="117"/>
      <c r="K1066" s="117"/>
      <c r="L1066" s="117"/>
      <c r="M1066" s="117"/>
      <c r="N1066" s="23"/>
      <c r="O1066" s="23"/>
      <c r="P1066" s="23"/>
    </row>
    <row r="1067" spans="10:16" x14ac:dyDescent="0.25">
      <c r="J1067" s="117"/>
      <c r="K1067" s="117"/>
      <c r="L1067" s="117"/>
      <c r="M1067" s="117"/>
      <c r="N1067" s="23"/>
      <c r="O1067" s="23"/>
      <c r="P1067" s="23"/>
    </row>
    <row r="1068" spans="10:16" x14ac:dyDescent="0.25">
      <c r="J1068" s="117"/>
      <c r="K1068" s="117"/>
      <c r="L1068" s="117"/>
      <c r="M1068" s="117"/>
      <c r="N1068" s="23"/>
      <c r="O1068" s="23"/>
      <c r="P1068" s="23"/>
    </row>
    <row r="1069" spans="10:16" x14ac:dyDescent="0.25">
      <c r="J1069" s="117"/>
      <c r="K1069" s="117"/>
      <c r="L1069" s="117"/>
      <c r="M1069" s="117"/>
      <c r="N1069" s="23"/>
      <c r="O1069" s="23"/>
      <c r="P1069" s="23"/>
    </row>
    <row r="1070" spans="10:16" x14ac:dyDescent="0.25">
      <c r="J1070" s="117"/>
      <c r="K1070" s="117"/>
      <c r="L1070" s="117"/>
      <c r="M1070" s="117"/>
      <c r="N1070" s="23"/>
      <c r="O1070" s="23"/>
      <c r="P1070" s="23"/>
    </row>
    <row r="1071" spans="10:16" x14ac:dyDescent="0.25">
      <c r="J1071" s="117"/>
      <c r="K1071" s="117"/>
      <c r="L1071" s="117"/>
      <c r="M1071" s="117"/>
      <c r="N1071" s="23"/>
      <c r="O1071" s="23"/>
      <c r="P1071" s="23"/>
    </row>
    <row r="1072" spans="10:16" x14ac:dyDescent="0.25">
      <c r="J1072" s="117"/>
      <c r="K1072" s="117"/>
      <c r="L1072" s="117"/>
      <c r="M1072" s="117"/>
      <c r="N1072" s="23"/>
      <c r="O1072" s="23"/>
      <c r="P1072" s="23"/>
    </row>
    <row r="1073" spans="10:16" x14ac:dyDescent="0.25">
      <c r="J1073" s="117"/>
      <c r="K1073" s="117"/>
      <c r="L1073" s="117"/>
      <c r="M1073" s="117"/>
      <c r="N1073" s="23"/>
      <c r="O1073" s="23"/>
      <c r="P1073" s="23"/>
    </row>
    <row r="1074" spans="10:16" x14ac:dyDescent="0.25">
      <c r="J1074" s="117"/>
      <c r="K1074" s="117"/>
      <c r="L1074" s="117"/>
      <c r="M1074" s="117"/>
      <c r="N1074" s="23"/>
      <c r="O1074" s="23"/>
      <c r="P1074" s="23"/>
    </row>
    <row r="1075" spans="10:16" x14ac:dyDescent="0.25">
      <c r="J1075" s="117"/>
      <c r="K1075" s="117"/>
      <c r="L1075" s="117"/>
      <c r="M1075" s="117"/>
      <c r="N1075" s="23"/>
      <c r="O1075" s="23"/>
      <c r="P1075" s="23"/>
    </row>
    <row r="1076" spans="10:16" x14ac:dyDescent="0.25">
      <c r="J1076" s="117"/>
      <c r="K1076" s="117"/>
      <c r="L1076" s="117"/>
      <c r="M1076" s="117"/>
      <c r="N1076" s="23"/>
      <c r="O1076" s="23"/>
      <c r="P1076" s="23"/>
    </row>
    <row r="1077" spans="10:16" x14ac:dyDescent="0.25">
      <c r="J1077" s="117"/>
      <c r="K1077" s="117"/>
      <c r="L1077" s="117"/>
      <c r="M1077" s="117"/>
      <c r="N1077" s="23"/>
      <c r="O1077" s="23"/>
      <c r="P1077" s="23"/>
    </row>
    <row r="1078" spans="10:16" x14ac:dyDescent="0.25">
      <c r="J1078" s="117"/>
      <c r="K1078" s="117"/>
      <c r="L1078" s="117"/>
      <c r="M1078" s="117"/>
      <c r="N1078" s="23"/>
      <c r="O1078" s="23"/>
      <c r="P1078" s="23"/>
    </row>
    <row r="1079" spans="10:16" x14ac:dyDescent="0.25">
      <c r="J1079" s="117"/>
      <c r="K1079" s="117"/>
      <c r="L1079" s="117"/>
      <c r="M1079" s="117"/>
      <c r="N1079" s="23"/>
      <c r="O1079" s="23"/>
      <c r="P1079" s="23"/>
    </row>
    <row r="1080" spans="10:16" x14ac:dyDescent="0.25">
      <c r="J1080" s="117"/>
      <c r="K1080" s="117"/>
      <c r="L1080" s="117"/>
      <c r="M1080" s="117"/>
      <c r="N1080" s="23"/>
      <c r="O1080" s="23"/>
      <c r="P1080" s="23"/>
    </row>
    <row r="1081" spans="10:16" x14ac:dyDescent="0.25">
      <c r="J1081" s="117"/>
      <c r="K1081" s="117"/>
      <c r="L1081" s="117"/>
      <c r="M1081" s="117"/>
      <c r="N1081" s="23"/>
      <c r="O1081" s="23"/>
      <c r="P1081" s="23"/>
    </row>
    <row r="1082" spans="10:16" x14ac:dyDescent="0.25">
      <c r="J1082" s="117"/>
      <c r="K1082" s="117"/>
      <c r="L1082" s="117"/>
      <c r="M1082" s="117"/>
      <c r="N1082" s="23"/>
      <c r="O1082" s="23"/>
      <c r="P1082" s="23"/>
    </row>
    <row r="1083" spans="10:16" x14ac:dyDescent="0.25">
      <c r="J1083" s="117"/>
      <c r="K1083" s="117"/>
      <c r="L1083" s="117"/>
      <c r="M1083" s="117"/>
      <c r="N1083" s="23"/>
      <c r="O1083" s="23"/>
      <c r="P1083" s="23"/>
    </row>
    <row r="1084" spans="10:16" x14ac:dyDescent="0.25">
      <c r="J1084" s="117"/>
      <c r="K1084" s="117"/>
      <c r="L1084" s="117"/>
      <c r="M1084" s="117"/>
      <c r="N1084" s="23"/>
      <c r="O1084" s="23"/>
      <c r="P1084" s="23"/>
    </row>
    <row r="1085" spans="10:16" x14ac:dyDescent="0.25">
      <c r="J1085" s="117"/>
      <c r="K1085" s="117"/>
      <c r="L1085" s="117"/>
      <c r="M1085" s="117"/>
      <c r="N1085" s="23"/>
      <c r="O1085" s="23"/>
      <c r="P1085" s="23"/>
    </row>
    <row r="1086" spans="10:16" x14ac:dyDescent="0.25">
      <c r="J1086" s="117"/>
      <c r="K1086" s="117"/>
      <c r="L1086" s="117"/>
      <c r="M1086" s="117"/>
      <c r="N1086" s="23"/>
      <c r="O1086" s="23"/>
      <c r="P1086" s="23"/>
    </row>
    <row r="1087" spans="10:16" x14ac:dyDescent="0.25">
      <c r="J1087" s="117"/>
      <c r="K1087" s="117"/>
      <c r="L1087" s="117"/>
      <c r="M1087" s="117"/>
      <c r="N1087" s="23"/>
      <c r="O1087" s="23"/>
      <c r="P1087" s="23"/>
    </row>
    <row r="1088" spans="10:16" x14ac:dyDescent="0.25">
      <c r="J1088" s="117"/>
      <c r="K1088" s="117"/>
      <c r="L1088" s="117"/>
      <c r="M1088" s="117"/>
      <c r="N1088" s="23"/>
      <c r="O1088" s="23"/>
      <c r="P1088" s="23"/>
    </row>
    <row r="1089" spans="10:16" x14ac:dyDescent="0.25">
      <c r="J1089" s="117"/>
      <c r="K1089" s="117"/>
      <c r="L1089" s="117"/>
      <c r="M1089" s="117"/>
      <c r="N1089" s="23"/>
      <c r="O1089" s="23"/>
      <c r="P1089" s="23"/>
    </row>
    <row r="1090" spans="10:16" x14ac:dyDescent="0.25">
      <c r="J1090" s="117"/>
      <c r="K1090" s="117"/>
      <c r="L1090" s="117"/>
      <c r="M1090" s="117"/>
      <c r="N1090" s="23"/>
      <c r="O1090" s="23"/>
      <c r="P1090" s="23"/>
    </row>
    <row r="1091" spans="10:16" x14ac:dyDescent="0.25">
      <c r="J1091" s="117"/>
      <c r="K1091" s="117"/>
      <c r="L1091" s="117"/>
      <c r="M1091" s="117"/>
      <c r="N1091" s="23"/>
      <c r="O1091" s="23"/>
      <c r="P1091" s="23"/>
    </row>
    <row r="1092" spans="10:16" x14ac:dyDescent="0.25">
      <c r="J1092" s="117"/>
      <c r="K1092" s="117"/>
      <c r="L1092" s="117"/>
      <c r="M1092" s="117"/>
      <c r="N1092" s="23"/>
      <c r="O1092" s="23"/>
      <c r="P1092" s="23"/>
    </row>
    <row r="1093" spans="10:16" x14ac:dyDescent="0.25">
      <c r="J1093" s="117"/>
      <c r="K1093" s="117"/>
      <c r="L1093" s="117"/>
      <c r="M1093" s="117"/>
      <c r="N1093" s="23"/>
      <c r="O1093" s="23"/>
      <c r="P1093" s="23"/>
    </row>
    <row r="1094" spans="10:16" x14ac:dyDescent="0.25">
      <c r="J1094" s="117"/>
      <c r="K1094" s="117"/>
      <c r="L1094" s="117"/>
      <c r="M1094" s="117"/>
      <c r="N1094" s="23"/>
      <c r="O1094" s="23"/>
      <c r="P1094" s="23"/>
    </row>
    <row r="1095" spans="10:16" x14ac:dyDescent="0.25">
      <c r="J1095" s="117"/>
      <c r="K1095" s="117"/>
      <c r="L1095" s="117"/>
      <c r="M1095" s="117"/>
      <c r="N1095" s="23"/>
      <c r="O1095" s="23"/>
      <c r="P1095" s="23"/>
    </row>
    <row r="1096" spans="10:16" x14ac:dyDescent="0.25">
      <c r="J1096" s="117"/>
      <c r="K1096" s="117"/>
      <c r="L1096" s="117"/>
      <c r="M1096" s="117"/>
      <c r="N1096" s="23"/>
      <c r="O1096" s="23"/>
      <c r="P1096" s="23"/>
    </row>
    <row r="1097" spans="10:16" x14ac:dyDescent="0.25">
      <c r="J1097" s="117"/>
      <c r="K1097" s="117"/>
      <c r="L1097" s="117"/>
      <c r="M1097" s="117"/>
      <c r="N1097" s="23"/>
      <c r="O1097" s="23"/>
      <c r="P1097" s="23"/>
    </row>
    <row r="1098" spans="10:16" x14ac:dyDescent="0.25">
      <c r="J1098" s="117"/>
      <c r="K1098" s="117"/>
      <c r="L1098" s="117"/>
      <c r="M1098" s="117"/>
      <c r="N1098" s="23"/>
      <c r="O1098" s="23"/>
      <c r="P1098" s="23"/>
    </row>
    <row r="1099" spans="10:16" x14ac:dyDescent="0.25">
      <c r="J1099" s="117"/>
      <c r="K1099" s="117"/>
      <c r="L1099" s="117"/>
      <c r="M1099" s="117"/>
      <c r="N1099" s="23"/>
      <c r="O1099" s="23"/>
      <c r="P1099" s="23"/>
    </row>
    <row r="1100" spans="10:16" x14ac:dyDescent="0.25">
      <c r="J1100" s="117"/>
      <c r="K1100" s="117"/>
      <c r="L1100" s="117"/>
      <c r="M1100" s="117"/>
      <c r="N1100" s="23"/>
      <c r="O1100" s="23"/>
      <c r="P1100" s="23"/>
    </row>
    <row r="1101" spans="10:16" x14ac:dyDescent="0.25">
      <c r="J1101" s="117"/>
      <c r="K1101" s="117"/>
      <c r="L1101" s="117"/>
      <c r="M1101" s="117"/>
      <c r="N1101" s="23"/>
      <c r="O1101" s="23"/>
      <c r="P1101" s="23"/>
    </row>
    <row r="1102" spans="10:16" x14ac:dyDescent="0.25">
      <c r="J1102" s="117"/>
      <c r="K1102" s="117"/>
      <c r="L1102" s="117"/>
      <c r="M1102" s="117"/>
      <c r="N1102" s="23"/>
      <c r="O1102" s="23"/>
      <c r="P1102" s="23"/>
    </row>
    <row r="1103" spans="10:16" x14ac:dyDescent="0.25">
      <c r="J1103" s="117"/>
      <c r="K1103" s="117"/>
      <c r="L1103" s="117"/>
      <c r="M1103" s="117"/>
      <c r="N1103" s="23"/>
      <c r="O1103" s="23"/>
      <c r="P1103" s="23"/>
    </row>
    <row r="1104" spans="10:16" x14ac:dyDescent="0.25">
      <c r="J1104" s="117"/>
      <c r="K1104" s="117"/>
      <c r="L1104" s="117"/>
      <c r="M1104" s="117"/>
      <c r="N1104" s="23"/>
      <c r="O1104" s="23"/>
      <c r="P1104" s="23"/>
    </row>
    <row r="1105" spans="10:16" x14ac:dyDescent="0.25">
      <c r="J1105" s="117"/>
      <c r="K1105" s="117"/>
      <c r="L1105" s="117"/>
      <c r="M1105" s="117"/>
      <c r="N1105" s="23"/>
      <c r="O1105" s="23"/>
      <c r="P1105" s="23"/>
    </row>
    <row r="1106" spans="10:16" x14ac:dyDescent="0.25">
      <c r="J1106" s="117"/>
      <c r="K1106" s="117"/>
      <c r="L1106" s="117"/>
      <c r="M1106" s="117"/>
      <c r="N1106" s="23"/>
      <c r="O1106" s="23"/>
      <c r="P1106" s="23"/>
    </row>
    <row r="1107" spans="10:16" x14ac:dyDescent="0.25">
      <c r="J1107" s="117"/>
      <c r="K1107" s="117"/>
      <c r="L1107" s="117"/>
      <c r="M1107" s="117"/>
      <c r="N1107" s="23"/>
      <c r="O1107" s="23"/>
      <c r="P1107" s="23"/>
    </row>
    <row r="1108" spans="10:16" x14ac:dyDescent="0.25">
      <c r="J1108" s="117"/>
      <c r="K1108" s="117"/>
      <c r="L1108" s="117"/>
      <c r="M1108" s="117"/>
      <c r="N1108" s="23"/>
      <c r="O1108" s="23"/>
      <c r="P1108" s="23"/>
    </row>
    <row r="1109" spans="10:16" x14ac:dyDescent="0.25">
      <c r="J1109" s="117"/>
      <c r="K1109" s="117"/>
      <c r="L1109" s="117"/>
      <c r="M1109" s="117"/>
      <c r="N1109" s="23"/>
      <c r="O1109" s="23"/>
      <c r="P1109" s="23"/>
    </row>
    <row r="1110" spans="10:16" x14ac:dyDescent="0.25">
      <c r="J1110" s="117"/>
      <c r="K1110" s="117"/>
      <c r="L1110" s="117"/>
      <c r="M1110" s="117"/>
      <c r="N1110" s="23"/>
      <c r="O1110" s="23"/>
      <c r="P1110" s="23"/>
    </row>
    <row r="1111" spans="10:16" x14ac:dyDescent="0.25">
      <c r="J1111" s="117"/>
      <c r="K1111" s="117"/>
      <c r="L1111" s="117"/>
      <c r="M1111" s="117"/>
      <c r="N1111" s="23"/>
      <c r="O1111" s="23"/>
      <c r="P1111" s="23"/>
    </row>
    <row r="1112" spans="10:16" x14ac:dyDescent="0.25">
      <c r="J1112" s="117"/>
      <c r="K1112" s="117"/>
      <c r="L1112" s="117"/>
      <c r="M1112" s="117"/>
      <c r="N1112" s="23"/>
      <c r="O1112" s="23"/>
      <c r="P1112" s="23"/>
    </row>
    <row r="1113" spans="10:16" x14ac:dyDescent="0.25">
      <c r="J1113" s="117"/>
      <c r="K1113" s="117"/>
      <c r="L1113" s="117"/>
      <c r="M1113" s="117"/>
      <c r="N1113" s="23"/>
      <c r="O1113" s="23"/>
      <c r="P1113" s="23"/>
    </row>
    <row r="1114" spans="10:16" x14ac:dyDescent="0.25">
      <c r="J1114" s="117"/>
      <c r="K1114" s="117"/>
      <c r="L1114" s="117"/>
      <c r="M1114" s="117"/>
      <c r="N1114" s="23"/>
      <c r="O1114" s="23"/>
      <c r="P1114" s="23"/>
    </row>
    <row r="1115" spans="10:16" x14ac:dyDescent="0.25">
      <c r="J1115" s="117"/>
      <c r="K1115" s="117"/>
      <c r="L1115" s="117"/>
      <c r="M1115" s="117"/>
      <c r="N1115" s="23"/>
      <c r="O1115" s="23"/>
      <c r="P1115" s="23"/>
    </row>
    <row r="1116" spans="10:16" x14ac:dyDescent="0.25">
      <c r="J1116" s="117"/>
      <c r="K1116" s="117"/>
      <c r="L1116" s="117"/>
      <c r="M1116" s="117"/>
      <c r="N1116" s="23"/>
      <c r="O1116" s="23"/>
      <c r="P1116" s="23"/>
    </row>
    <row r="1117" spans="10:16" x14ac:dyDescent="0.25">
      <c r="J1117" s="117"/>
      <c r="K1117" s="117"/>
      <c r="L1117" s="117"/>
      <c r="M1117" s="117"/>
      <c r="N1117" s="23"/>
      <c r="O1117" s="23"/>
      <c r="P1117" s="23"/>
    </row>
    <row r="1118" spans="10:16" x14ac:dyDescent="0.25">
      <c r="J1118" s="117"/>
      <c r="K1118" s="117"/>
      <c r="L1118" s="117"/>
      <c r="M1118" s="117"/>
      <c r="N1118" s="23"/>
      <c r="O1118" s="23"/>
      <c r="P1118" s="23"/>
    </row>
    <row r="1119" spans="10:16" x14ac:dyDescent="0.25">
      <c r="J1119" s="117"/>
      <c r="K1119" s="117"/>
      <c r="L1119" s="117"/>
      <c r="M1119" s="117"/>
      <c r="N1119" s="23"/>
      <c r="O1119" s="23"/>
      <c r="P1119" s="23"/>
    </row>
    <row r="1120" spans="10:16" x14ac:dyDescent="0.25">
      <c r="J1120" s="117"/>
      <c r="K1120" s="117"/>
      <c r="L1120" s="117"/>
      <c r="M1120" s="117"/>
      <c r="N1120" s="23"/>
      <c r="O1120" s="23"/>
      <c r="P1120" s="23"/>
    </row>
    <row r="1121" spans="10:16" x14ac:dyDescent="0.25">
      <c r="J1121" s="117"/>
      <c r="K1121" s="117"/>
      <c r="L1121" s="117"/>
      <c r="M1121" s="117"/>
      <c r="N1121" s="23"/>
      <c r="O1121" s="23"/>
      <c r="P1121" s="23"/>
    </row>
    <row r="1122" spans="10:16" x14ac:dyDescent="0.25">
      <c r="J1122" s="117"/>
      <c r="K1122" s="117"/>
      <c r="L1122" s="117"/>
      <c r="M1122" s="117"/>
      <c r="N1122" s="23"/>
      <c r="O1122" s="23"/>
      <c r="P1122" s="23"/>
    </row>
    <row r="1123" spans="10:16" x14ac:dyDescent="0.25">
      <c r="J1123" s="117"/>
      <c r="K1123" s="117"/>
      <c r="L1123" s="117"/>
      <c r="M1123" s="117"/>
      <c r="N1123" s="23"/>
      <c r="O1123" s="23"/>
      <c r="P1123" s="23"/>
    </row>
    <row r="1124" spans="10:16" x14ac:dyDescent="0.25">
      <c r="J1124" s="117"/>
      <c r="K1124" s="117"/>
      <c r="L1124" s="117"/>
      <c r="M1124" s="117"/>
      <c r="N1124" s="23"/>
      <c r="O1124" s="23"/>
      <c r="P1124" s="23"/>
    </row>
    <row r="1125" spans="10:16" x14ac:dyDescent="0.25">
      <c r="J1125" s="117"/>
      <c r="K1125" s="117"/>
      <c r="L1125" s="117"/>
      <c r="M1125" s="117"/>
      <c r="N1125" s="23"/>
      <c r="O1125" s="23"/>
      <c r="P1125" s="23"/>
    </row>
    <row r="1126" spans="10:16" x14ac:dyDescent="0.25">
      <c r="J1126" s="117"/>
      <c r="K1126" s="117"/>
      <c r="L1126" s="117"/>
      <c r="M1126" s="117"/>
      <c r="N1126" s="23"/>
      <c r="O1126" s="23"/>
      <c r="P1126" s="23"/>
    </row>
    <row r="1127" spans="10:16" x14ac:dyDescent="0.25">
      <c r="J1127" s="117"/>
      <c r="K1127" s="117"/>
      <c r="L1127" s="117"/>
      <c r="M1127" s="117"/>
      <c r="N1127" s="23"/>
      <c r="O1127" s="23"/>
      <c r="P1127" s="23"/>
    </row>
    <row r="1128" spans="10:16" x14ac:dyDescent="0.25">
      <c r="J1128" s="117"/>
      <c r="K1128" s="117"/>
      <c r="L1128" s="117"/>
      <c r="M1128" s="117"/>
      <c r="N1128" s="23"/>
      <c r="O1128" s="23"/>
      <c r="P1128" s="23"/>
    </row>
    <row r="1129" spans="10:16" x14ac:dyDescent="0.25">
      <c r="J1129" s="117"/>
      <c r="K1129" s="117"/>
      <c r="L1129" s="117"/>
      <c r="M1129" s="117"/>
      <c r="N1129" s="23"/>
      <c r="O1129" s="23"/>
      <c r="P1129" s="23"/>
    </row>
    <row r="1130" spans="10:16" x14ac:dyDescent="0.25">
      <c r="J1130" s="117"/>
      <c r="K1130" s="117"/>
      <c r="L1130" s="117"/>
      <c r="M1130" s="117"/>
      <c r="N1130" s="23"/>
      <c r="O1130" s="23"/>
      <c r="P1130" s="23"/>
    </row>
    <row r="1131" spans="10:16" x14ac:dyDescent="0.25">
      <c r="J1131" s="117"/>
      <c r="K1131" s="117"/>
      <c r="L1131" s="117"/>
      <c r="M1131" s="117"/>
      <c r="N1131" s="23"/>
      <c r="O1131" s="23"/>
      <c r="P1131" s="23"/>
    </row>
    <row r="1132" spans="10:16" x14ac:dyDescent="0.25">
      <c r="J1132" s="117"/>
      <c r="K1132" s="117"/>
      <c r="L1132" s="117"/>
      <c r="M1132" s="117"/>
      <c r="N1132" s="23"/>
      <c r="O1132" s="23"/>
      <c r="P1132" s="23"/>
    </row>
    <row r="1133" spans="10:16" x14ac:dyDescent="0.25">
      <c r="J1133" s="117"/>
      <c r="K1133" s="117"/>
      <c r="L1133" s="117"/>
      <c r="M1133" s="117"/>
      <c r="N1133" s="23"/>
      <c r="O1133" s="23"/>
      <c r="P1133" s="23"/>
    </row>
    <row r="1134" spans="10:16" x14ac:dyDescent="0.25">
      <c r="J1134" s="117"/>
      <c r="K1134" s="117"/>
      <c r="L1134" s="117"/>
      <c r="M1134" s="117"/>
      <c r="N1134" s="23"/>
      <c r="O1134" s="23"/>
      <c r="P1134" s="23"/>
    </row>
    <row r="1135" spans="10:16" x14ac:dyDescent="0.25">
      <c r="J1135" s="117"/>
      <c r="K1135" s="117"/>
      <c r="L1135" s="117"/>
      <c r="M1135" s="117"/>
      <c r="N1135" s="23"/>
      <c r="O1135" s="23"/>
      <c r="P1135" s="23"/>
    </row>
    <row r="1136" spans="10:16" x14ac:dyDescent="0.25">
      <c r="J1136" s="117"/>
      <c r="K1136" s="117"/>
      <c r="L1136" s="117"/>
      <c r="M1136" s="117"/>
      <c r="N1136" s="23"/>
      <c r="O1136" s="23"/>
      <c r="P1136" s="23"/>
    </row>
    <row r="1137" spans="10:16" x14ac:dyDescent="0.25">
      <c r="J1137" s="117"/>
      <c r="K1137" s="117"/>
      <c r="L1137" s="117"/>
      <c r="M1137" s="117"/>
      <c r="N1137" s="23"/>
      <c r="O1137" s="23"/>
      <c r="P1137" s="23"/>
    </row>
    <row r="1138" spans="10:16" x14ac:dyDescent="0.25">
      <c r="J1138" s="117"/>
      <c r="K1138" s="117"/>
      <c r="L1138" s="117"/>
      <c r="M1138" s="117"/>
      <c r="N1138" s="23"/>
      <c r="O1138" s="23"/>
      <c r="P1138" s="23"/>
    </row>
    <row r="1139" spans="10:16" x14ac:dyDescent="0.25">
      <c r="J1139" s="117"/>
      <c r="K1139" s="117"/>
      <c r="L1139" s="117"/>
      <c r="M1139" s="117"/>
      <c r="N1139" s="23"/>
      <c r="O1139" s="23"/>
      <c r="P1139" s="23"/>
    </row>
    <row r="1140" spans="10:16" x14ac:dyDescent="0.25">
      <c r="J1140" s="117"/>
      <c r="K1140" s="117"/>
      <c r="L1140" s="117"/>
      <c r="M1140" s="117"/>
      <c r="N1140" s="23"/>
      <c r="O1140" s="23"/>
      <c r="P1140" s="23"/>
    </row>
    <row r="1141" spans="10:16" x14ac:dyDescent="0.25">
      <c r="J1141" s="117"/>
      <c r="K1141" s="117"/>
      <c r="L1141" s="117"/>
      <c r="M1141" s="117"/>
      <c r="N1141" s="23"/>
      <c r="O1141" s="23"/>
      <c r="P1141" s="23"/>
    </row>
    <row r="1142" spans="10:16" x14ac:dyDescent="0.25">
      <c r="J1142" s="117"/>
      <c r="K1142" s="117"/>
      <c r="L1142" s="117"/>
      <c r="M1142" s="117"/>
      <c r="N1142" s="23"/>
      <c r="O1142" s="23"/>
      <c r="P1142" s="23"/>
    </row>
    <row r="1143" spans="10:16" x14ac:dyDescent="0.25">
      <c r="J1143" s="117"/>
      <c r="K1143" s="117"/>
      <c r="L1143" s="117"/>
      <c r="M1143" s="117"/>
      <c r="N1143" s="23"/>
      <c r="O1143" s="23"/>
      <c r="P1143" s="23"/>
    </row>
    <row r="1144" spans="10:16" x14ac:dyDescent="0.25">
      <c r="J1144" s="117"/>
      <c r="K1144" s="117"/>
      <c r="L1144" s="117"/>
      <c r="M1144" s="117"/>
      <c r="N1144" s="23"/>
      <c r="O1144" s="23"/>
      <c r="P1144" s="23"/>
    </row>
    <row r="1145" spans="10:16" x14ac:dyDescent="0.25">
      <c r="J1145" s="117"/>
      <c r="K1145" s="117"/>
      <c r="L1145" s="117"/>
      <c r="M1145" s="117"/>
      <c r="N1145" s="23"/>
      <c r="O1145" s="23"/>
      <c r="P1145" s="23"/>
    </row>
    <row r="1146" spans="10:16" x14ac:dyDescent="0.25">
      <c r="J1146" s="117"/>
      <c r="K1146" s="117"/>
      <c r="L1146" s="117"/>
      <c r="M1146" s="117"/>
      <c r="N1146" s="23"/>
      <c r="O1146" s="23"/>
      <c r="P1146" s="23"/>
    </row>
    <row r="1147" spans="10:16" x14ac:dyDescent="0.25">
      <c r="J1147" s="117"/>
      <c r="K1147" s="117"/>
      <c r="L1147" s="117"/>
      <c r="M1147" s="117"/>
      <c r="N1147" s="23"/>
      <c r="O1147" s="23"/>
      <c r="P1147" s="23"/>
    </row>
    <row r="1148" spans="10:16" x14ac:dyDescent="0.25">
      <c r="J1148" s="117"/>
      <c r="K1148" s="117"/>
      <c r="L1148" s="117"/>
      <c r="M1148" s="117"/>
      <c r="N1148" s="23"/>
      <c r="O1148" s="23"/>
      <c r="P1148" s="23"/>
    </row>
    <row r="1149" spans="10:16" x14ac:dyDescent="0.25">
      <c r="J1149" s="117"/>
      <c r="K1149" s="117"/>
      <c r="L1149" s="117"/>
      <c r="M1149" s="117"/>
      <c r="N1149" s="23"/>
      <c r="O1149" s="23"/>
      <c r="P1149" s="23"/>
    </row>
    <row r="1150" spans="10:16" x14ac:dyDescent="0.25">
      <c r="J1150" s="117"/>
      <c r="K1150" s="117"/>
      <c r="L1150" s="117"/>
      <c r="M1150" s="117"/>
      <c r="N1150" s="23"/>
      <c r="O1150" s="23"/>
      <c r="P1150" s="23"/>
    </row>
    <row r="1151" spans="10:16" x14ac:dyDescent="0.25">
      <c r="J1151" s="117"/>
      <c r="K1151" s="117"/>
      <c r="L1151" s="117"/>
      <c r="M1151" s="117"/>
      <c r="N1151" s="23"/>
      <c r="O1151" s="23"/>
      <c r="P1151" s="23"/>
    </row>
    <row r="1152" spans="10:16" x14ac:dyDescent="0.25">
      <c r="J1152" s="117"/>
      <c r="K1152" s="117"/>
      <c r="L1152" s="117"/>
      <c r="M1152" s="117"/>
      <c r="N1152" s="23"/>
      <c r="O1152" s="23"/>
      <c r="P1152" s="23"/>
    </row>
    <row r="1153" spans="10:16" x14ac:dyDescent="0.25">
      <c r="J1153" s="117"/>
      <c r="K1153" s="117"/>
      <c r="L1153" s="117"/>
      <c r="M1153" s="117"/>
      <c r="N1153" s="23"/>
      <c r="O1153" s="23"/>
      <c r="P1153" s="23"/>
    </row>
    <row r="1154" spans="10:16" x14ac:dyDescent="0.25">
      <c r="J1154" s="117"/>
      <c r="K1154" s="117"/>
      <c r="L1154" s="117"/>
      <c r="M1154" s="117"/>
      <c r="N1154" s="23"/>
      <c r="O1154" s="23"/>
      <c r="P1154" s="23"/>
    </row>
    <row r="1155" spans="10:16" x14ac:dyDescent="0.25">
      <c r="J1155" s="117"/>
      <c r="K1155" s="117"/>
      <c r="L1155" s="117"/>
      <c r="M1155" s="117"/>
      <c r="N1155" s="23"/>
      <c r="O1155" s="23"/>
      <c r="P1155" s="23"/>
    </row>
    <row r="1156" spans="10:16" x14ac:dyDescent="0.25">
      <c r="J1156" s="117"/>
      <c r="K1156" s="117"/>
      <c r="L1156" s="117"/>
      <c r="M1156" s="117"/>
      <c r="N1156" s="23"/>
      <c r="O1156" s="23"/>
      <c r="P1156" s="23"/>
    </row>
    <row r="1157" spans="10:16" x14ac:dyDescent="0.25">
      <c r="J1157" s="117"/>
      <c r="K1157" s="117"/>
      <c r="L1157" s="117"/>
      <c r="M1157" s="117"/>
      <c r="N1157" s="23"/>
      <c r="O1157" s="23"/>
      <c r="P1157" s="23"/>
    </row>
    <row r="1158" spans="10:16" x14ac:dyDescent="0.25">
      <c r="J1158" s="117"/>
      <c r="K1158" s="117"/>
      <c r="L1158" s="117"/>
      <c r="M1158" s="117"/>
      <c r="N1158" s="23"/>
      <c r="O1158" s="23"/>
      <c r="P1158" s="23"/>
    </row>
    <row r="1159" spans="10:16" x14ac:dyDescent="0.25">
      <c r="J1159" s="117"/>
      <c r="K1159" s="117"/>
      <c r="L1159" s="117"/>
      <c r="M1159" s="117"/>
      <c r="N1159" s="23"/>
      <c r="O1159" s="23"/>
      <c r="P1159" s="23"/>
    </row>
    <row r="1160" spans="10:16" x14ac:dyDescent="0.25">
      <c r="J1160" s="117"/>
      <c r="K1160" s="117"/>
      <c r="L1160" s="117"/>
      <c r="M1160" s="117"/>
      <c r="N1160" s="23"/>
      <c r="O1160" s="23"/>
      <c r="P1160" s="23"/>
    </row>
    <row r="1161" spans="10:16" x14ac:dyDescent="0.25">
      <c r="J1161" s="117"/>
      <c r="K1161" s="117"/>
      <c r="L1161" s="117"/>
      <c r="M1161" s="117"/>
      <c r="N1161" s="23"/>
      <c r="O1161" s="23"/>
      <c r="P1161" s="23"/>
    </row>
    <row r="1162" spans="10:16" x14ac:dyDescent="0.25">
      <c r="J1162" s="117"/>
      <c r="K1162" s="117"/>
      <c r="L1162" s="117"/>
      <c r="M1162" s="117"/>
      <c r="N1162" s="23"/>
      <c r="O1162" s="23"/>
      <c r="P1162" s="23"/>
    </row>
    <row r="1163" spans="10:16" x14ac:dyDescent="0.25">
      <c r="J1163" s="117"/>
      <c r="K1163" s="117"/>
      <c r="L1163" s="117"/>
      <c r="M1163" s="117"/>
      <c r="N1163" s="23"/>
      <c r="O1163" s="23"/>
      <c r="P1163" s="23"/>
    </row>
    <row r="1164" spans="10:16" x14ac:dyDescent="0.25">
      <c r="J1164" s="117"/>
      <c r="K1164" s="117"/>
      <c r="L1164" s="117"/>
      <c r="M1164" s="117"/>
      <c r="N1164" s="23"/>
      <c r="O1164" s="23"/>
      <c r="P1164" s="23"/>
    </row>
    <row r="1165" spans="10:16" x14ac:dyDescent="0.25">
      <c r="J1165" s="117"/>
      <c r="K1165" s="117"/>
      <c r="L1165" s="117"/>
      <c r="M1165" s="117"/>
      <c r="N1165" s="23"/>
      <c r="O1165" s="23"/>
      <c r="P1165" s="23"/>
    </row>
    <row r="1166" spans="10:16" x14ac:dyDescent="0.25">
      <c r="J1166" s="117"/>
      <c r="K1166" s="117"/>
      <c r="L1166" s="117"/>
      <c r="M1166" s="117"/>
      <c r="N1166" s="23"/>
      <c r="O1166" s="23"/>
      <c r="P1166" s="23"/>
    </row>
    <row r="1167" spans="10:16" x14ac:dyDescent="0.25">
      <c r="J1167" s="117"/>
      <c r="K1167" s="117"/>
      <c r="L1167" s="117"/>
      <c r="M1167" s="117"/>
      <c r="N1167" s="23"/>
      <c r="O1167" s="23"/>
      <c r="P1167" s="23"/>
    </row>
    <row r="1168" spans="10:16" x14ac:dyDescent="0.25">
      <c r="J1168" s="117"/>
      <c r="K1168" s="117"/>
      <c r="L1168" s="117"/>
      <c r="M1168" s="117"/>
      <c r="N1168" s="23"/>
      <c r="O1168" s="23"/>
      <c r="P1168" s="23"/>
    </row>
    <row r="1169" spans="10:16" x14ac:dyDescent="0.25">
      <c r="J1169" s="117"/>
      <c r="K1169" s="117"/>
      <c r="L1169" s="117"/>
      <c r="M1169" s="117"/>
      <c r="N1169" s="23"/>
      <c r="O1169" s="23"/>
      <c r="P1169" s="23"/>
    </row>
    <row r="1170" spans="10:16" x14ac:dyDescent="0.25">
      <c r="J1170" s="117"/>
      <c r="K1170" s="117"/>
      <c r="L1170" s="117"/>
      <c r="M1170" s="117"/>
      <c r="N1170" s="23"/>
      <c r="O1170" s="23"/>
      <c r="P1170" s="23"/>
    </row>
    <row r="1171" spans="10:16" x14ac:dyDescent="0.25">
      <c r="J1171" s="117"/>
      <c r="K1171" s="117"/>
      <c r="L1171" s="117"/>
      <c r="M1171" s="117"/>
      <c r="N1171" s="23"/>
      <c r="O1171" s="23"/>
      <c r="P1171" s="23"/>
    </row>
    <row r="1172" spans="10:16" x14ac:dyDescent="0.25">
      <c r="J1172" s="117"/>
      <c r="K1172" s="117"/>
      <c r="L1172" s="117"/>
      <c r="M1172" s="117"/>
      <c r="N1172" s="23"/>
      <c r="O1172" s="23"/>
      <c r="P1172" s="23"/>
    </row>
    <row r="1173" spans="10:16" x14ac:dyDescent="0.25">
      <c r="J1173" s="117"/>
      <c r="K1173" s="117"/>
      <c r="L1173" s="117"/>
      <c r="M1173" s="117"/>
      <c r="N1173" s="23"/>
      <c r="O1173" s="23"/>
      <c r="P1173" s="23"/>
    </row>
    <row r="1174" spans="10:16" x14ac:dyDescent="0.25">
      <c r="J1174" s="117"/>
      <c r="K1174" s="117"/>
      <c r="L1174" s="117"/>
      <c r="M1174" s="117"/>
      <c r="N1174" s="23"/>
      <c r="O1174" s="23"/>
      <c r="P1174" s="23"/>
    </row>
    <row r="1175" spans="10:16" x14ac:dyDescent="0.25">
      <c r="J1175" s="117"/>
      <c r="K1175" s="117"/>
      <c r="L1175" s="117"/>
      <c r="M1175" s="117"/>
      <c r="N1175" s="23"/>
      <c r="O1175" s="23"/>
      <c r="P1175" s="23"/>
    </row>
    <row r="1176" spans="10:16" x14ac:dyDescent="0.25">
      <c r="J1176" s="117"/>
      <c r="K1176" s="117"/>
      <c r="L1176" s="117"/>
      <c r="M1176" s="117"/>
      <c r="N1176" s="23"/>
      <c r="O1176" s="23"/>
      <c r="P1176" s="23"/>
    </row>
    <row r="1177" spans="10:16" x14ac:dyDescent="0.25">
      <c r="J1177" s="117"/>
      <c r="K1177" s="117"/>
      <c r="L1177" s="117"/>
      <c r="M1177" s="117"/>
      <c r="N1177" s="23"/>
      <c r="O1177" s="23"/>
      <c r="P1177" s="23"/>
    </row>
    <row r="1178" spans="10:16" x14ac:dyDescent="0.25">
      <c r="J1178" s="117"/>
      <c r="K1178" s="117"/>
      <c r="L1178" s="117"/>
      <c r="M1178" s="117"/>
      <c r="N1178" s="23"/>
      <c r="O1178" s="23"/>
      <c r="P1178" s="23"/>
    </row>
    <row r="1179" spans="10:16" x14ac:dyDescent="0.25">
      <c r="J1179" s="117"/>
      <c r="K1179" s="117"/>
      <c r="L1179" s="117"/>
      <c r="M1179" s="117"/>
      <c r="N1179" s="23"/>
      <c r="O1179" s="23"/>
      <c r="P1179" s="23"/>
    </row>
    <row r="1180" spans="10:16" x14ac:dyDescent="0.25">
      <c r="J1180" s="117"/>
      <c r="K1180" s="117"/>
      <c r="L1180" s="117"/>
      <c r="M1180" s="117"/>
      <c r="N1180" s="23"/>
      <c r="O1180" s="23"/>
      <c r="P1180" s="23"/>
    </row>
    <row r="1181" spans="10:16" x14ac:dyDescent="0.25">
      <c r="J1181" s="117"/>
      <c r="K1181" s="117"/>
      <c r="L1181" s="117"/>
      <c r="M1181" s="117"/>
      <c r="N1181" s="23"/>
      <c r="O1181" s="23"/>
      <c r="P1181" s="23"/>
    </row>
    <row r="1182" spans="10:16" x14ac:dyDescent="0.25">
      <c r="J1182" s="117"/>
      <c r="K1182" s="117"/>
      <c r="L1182" s="117"/>
      <c r="M1182" s="117"/>
      <c r="N1182" s="23"/>
      <c r="O1182" s="23"/>
      <c r="P1182" s="23"/>
    </row>
    <row r="1183" spans="10:16" x14ac:dyDescent="0.25">
      <c r="J1183" s="117"/>
      <c r="K1183" s="117"/>
      <c r="L1183" s="117"/>
      <c r="M1183" s="117"/>
      <c r="N1183" s="23"/>
      <c r="O1183" s="23"/>
      <c r="P1183" s="23"/>
    </row>
    <row r="1184" spans="10:16" x14ac:dyDescent="0.25">
      <c r="J1184" s="117"/>
      <c r="K1184" s="117"/>
      <c r="L1184" s="117"/>
      <c r="M1184" s="117"/>
      <c r="N1184" s="23"/>
      <c r="O1184" s="23"/>
      <c r="P1184" s="23"/>
    </row>
    <row r="1185" spans="10:16" x14ac:dyDescent="0.25">
      <c r="J1185" s="117"/>
      <c r="K1185" s="117"/>
      <c r="L1185" s="117"/>
      <c r="M1185" s="117"/>
      <c r="N1185" s="23"/>
      <c r="O1185" s="23"/>
      <c r="P1185" s="23"/>
    </row>
    <row r="1186" spans="10:16" x14ac:dyDescent="0.25">
      <c r="J1186" s="117"/>
      <c r="K1186" s="117"/>
      <c r="L1186" s="117"/>
      <c r="M1186" s="117"/>
      <c r="N1186" s="23"/>
      <c r="O1186" s="23"/>
      <c r="P1186" s="23"/>
    </row>
    <row r="1187" spans="10:16" x14ac:dyDescent="0.25">
      <c r="J1187" s="117"/>
      <c r="K1187" s="117"/>
      <c r="L1187" s="117"/>
      <c r="M1187" s="117"/>
      <c r="N1187" s="23"/>
      <c r="O1187" s="23"/>
      <c r="P1187" s="23"/>
    </row>
    <row r="1188" spans="10:16" x14ac:dyDescent="0.25">
      <c r="J1188" s="117"/>
      <c r="K1188" s="117"/>
      <c r="L1188" s="117"/>
      <c r="M1188" s="117"/>
      <c r="N1188" s="23"/>
      <c r="O1188" s="23"/>
      <c r="P1188" s="23"/>
    </row>
    <row r="1189" spans="10:16" x14ac:dyDescent="0.25">
      <c r="J1189" s="117"/>
      <c r="K1189" s="117"/>
      <c r="L1189" s="117"/>
      <c r="M1189" s="117"/>
      <c r="N1189" s="23"/>
      <c r="O1189" s="23"/>
      <c r="P1189" s="23"/>
    </row>
    <row r="1190" spans="10:16" x14ac:dyDescent="0.25">
      <c r="J1190" s="117"/>
      <c r="K1190" s="117"/>
      <c r="L1190" s="117"/>
      <c r="M1190" s="117"/>
      <c r="N1190" s="23"/>
      <c r="O1190" s="23"/>
      <c r="P1190" s="23"/>
    </row>
    <row r="1191" spans="10:16" x14ac:dyDescent="0.25">
      <c r="J1191" s="117"/>
      <c r="K1191" s="117"/>
      <c r="L1191" s="117"/>
      <c r="M1191" s="117"/>
      <c r="N1191" s="23"/>
      <c r="O1191" s="23"/>
      <c r="P1191" s="23"/>
    </row>
    <row r="1192" spans="10:16" x14ac:dyDescent="0.25">
      <c r="J1192" s="117"/>
      <c r="K1192" s="117"/>
      <c r="L1192" s="117"/>
      <c r="M1192" s="117"/>
      <c r="N1192" s="23"/>
      <c r="O1192" s="23"/>
      <c r="P1192" s="23"/>
    </row>
    <row r="1193" spans="10:16" x14ac:dyDescent="0.25">
      <c r="J1193" s="117"/>
      <c r="K1193" s="117"/>
      <c r="L1193" s="117"/>
      <c r="M1193" s="117"/>
      <c r="N1193" s="23"/>
      <c r="O1193" s="23"/>
      <c r="P1193" s="23"/>
    </row>
    <row r="1194" spans="10:16" x14ac:dyDescent="0.25">
      <c r="J1194" s="117"/>
      <c r="K1194" s="117"/>
      <c r="L1194" s="117"/>
      <c r="M1194" s="117"/>
      <c r="N1194" s="23"/>
      <c r="O1194" s="23"/>
      <c r="P1194" s="23"/>
    </row>
    <row r="1195" spans="10:16" x14ac:dyDescent="0.25">
      <c r="J1195" s="117"/>
      <c r="K1195" s="117"/>
      <c r="L1195" s="117"/>
      <c r="M1195" s="117"/>
      <c r="N1195" s="23"/>
      <c r="O1195" s="23"/>
      <c r="P1195" s="23"/>
    </row>
    <row r="1196" spans="10:16" x14ac:dyDescent="0.25">
      <c r="J1196" s="117"/>
      <c r="K1196" s="117"/>
      <c r="L1196" s="117"/>
      <c r="M1196" s="117"/>
      <c r="N1196" s="23"/>
      <c r="O1196" s="23"/>
      <c r="P1196" s="23"/>
    </row>
    <row r="1197" spans="10:16" x14ac:dyDescent="0.25">
      <c r="J1197" s="117"/>
      <c r="K1197" s="117"/>
      <c r="L1197" s="117"/>
      <c r="M1197" s="117"/>
      <c r="N1197" s="23"/>
      <c r="O1197" s="23"/>
      <c r="P1197" s="23"/>
    </row>
    <row r="1198" spans="10:16" x14ac:dyDescent="0.25">
      <c r="J1198" s="117"/>
      <c r="K1198" s="117"/>
      <c r="L1198" s="117"/>
      <c r="M1198" s="117"/>
      <c r="N1198" s="23"/>
      <c r="O1198" s="23"/>
      <c r="P1198" s="23"/>
    </row>
    <row r="1199" spans="10:16" x14ac:dyDescent="0.25">
      <c r="J1199" s="117"/>
      <c r="K1199" s="117"/>
      <c r="L1199" s="117"/>
      <c r="M1199" s="117"/>
      <c r="N1199" s="23"/>
      <c r="O1199" s="23"/>
      <c r="P1199" s="23"/>
    </row>
    <row r="1200" spans="10:16" x14ac:dyDescent="0.25">
      <c r="J1200" s="117"/>
      <c r="K1200" s="117"/>
      <c r="L1200" s="117"/>
      <c r="M1200" s="117"/>
      <c r="N1200" s="23"/>
      <c r="O1200" s="23"/>
      <c r="P1200" s="23"/>
    </row>
    <row r="1201" spans="10:16" x14ac:dyDescent="0.25">
      <c r="J1201" s="117"/>
      <c r="K1201" s="117"/>
      <c r="L1201" s="117"/>
      <c r="M1201" s="117"/>
      <c r="N1201" s="23"/>
      <c r="O1201" s="23"/>
      <c r="P1201" s="23"/>
    </row>
    <row r="1202" spans="10:16" x14ac:dyDescent="0.25">
      <c r="J1202" s="117"/>
      <c r="K1202" s="117"/>
      <c r="L1202" s="117"/>
      <c r="M1202" s="117"/>
      <c r="N1202" s="23"/>
      <c r="O1202" s="23"/>
      <c r="P1202" s="23"/>
    </row>
    <row r="1203" spans="10:16" x14ac:dyDescent="0.25">
      <c r="J1203" s="117"/>
      <c r="K1203" s="117"/>
      <c r="L1203" s="117"/>
      <c r="M1203" s="117"/>
      <c r="N1203" s="23"/>
      <c r="O1203" s="23"/>
      <c r="P1203" s="23"/>
    </row>
    <row r="1204" spans="10:16" x14ac:dyDescent="0.25">
      <c r="J1204" s="117"/>
      <c r="K1204" s="117"/>
      <c r="L1204" s="117"/>
      <c r="M1204" s="117"/>
      <c r="N1204" s="23"/>
      <c r="O1204" s="23"/>
      <c r="P1204" s="23"/>
    </row>
    <row r="1205" spans="10:16" x14ac:dyDescent="0.25">
      <c r="J1205" s="117"/>
      <c r="K1205" s="117"/>
      <c r="L1205" s="117"/>
      <c r="M1205" s="117"/>
      <c r="N1205" s="23"/>
      <c r="O1205" s="23"/>
      <c r="P1205" s="23"/>
    </row>
    <row r="1206" spans="10:16" x14ac:dyDescent="0.25">
      <c r="J1206" s="117"/>
      <c r="K1206" s="117"/>
      <c r="L1206" s="117"/>
      <c r="M1206" s="117"/>
      <c r="N1206" s="23"/>
      <c r="O1206" s="23"/>
      <c r="P1206" s="23"/>
    </row>
    <row r="1207" spans="10:16" x14ac:dyDescent="0.25">
      <c r="J1207" s="117"/>
      <c r="K1207" s="117"/>
      <c r="L1207" s="117"/>
      <c r="M1207" s="117"/>
      <c r="N1207" s="23"/>
      <c r="O1207" s="23"/>
      <c r="P1207" s="23"/>
    </row>
    <row r="1208" spans="10:16" x14ac:dyDescent="0.25">
      <c r="J1208" s="117"/>
      <c r="K1208" s="117"/>
      <c r="L1208" s="117"/>
      <c r="M1208" s="117"/>
      <c r="N1208" s="23"/>
      <c r="O1208" s="23"/>
      <c r="P1208" s="23"/>
    </row>
    <row r="1209" spans="10:16" x14ac:dyDescent="0.25">
      <c r="J1209" s="117"/>
      <c r="K1209" s="117"/>
      <c r="L1209" s="117"/>
      <c r="M1209" s="117"/>
      <c r="N1209" s="23"/>
      <c r="O1209" s="23"/>
      <c r="P1209" s="23"/>
    </row>
    <row r="1210" spans="10:16" x14ac:dyDescent="0.25">
      <c r="J1210" s="117"/>
      <c r="K1210" s="117"/>
      <c r="L1210" s="117"/>
      <c r="M1210" s="117"/>
      <c r="N1210" s="23"/>
      <c r="O1210" s="23"/>
      <c r="P1210" s="23"/>
    </row>
    <row r="1211" spans="10:16" x14ac:dyDescent="0.25">
      <c r="J1211" s="117"/>
      <c r="K1211" s="117"/>
      <c r="L1211" s="117"/>
      <c r="M1211" s="117"/>
      <c r="N1211" s="23"/>
      <c r="O1211" s="23"/>
      <c r="P1211" s="23"/>
    </row>
    <row r="1212" spans="10:16" x14ac:dyDescent="0.25">
      <c r="J1212" s="117"/>
      <c r="K1212" s="117"/>
      <c r="L1212" s="117"/>
      <c r="M1212" s="117"/>
      <c r="N1212" s="23"/>
      <c r="O1212" s="23"/>
      <c r="P1212" s="23"/>
    </row>
    <row r="1213" spans="10:16" x14ac:dyDescent="0.25">
      <c r="J1213" s="117"/>
      <c r="K1213" s="117"/>
      <c r="L1213" s="117"/>
      <c r="M1213" s="117"/>
      <c r="N1213" s="23"/>
      <c r="O1213" s="23"/>
      <c r="P1213" s="23"/>
    </row>
    <row r="1214" spans="10:16" x14ac:dyDescent="0.25">
      <c r="J1214" s="117"/>
      <c r="K1214" s="117"/>
      <c r="L1214" s="117"/>
      <c r="M1214" s="117"/>
      <c r="N1214" s="23"/>
      <c r="O1214" s="23"/>
      <c r="P1214" s="23"/>
    </row>
    <row r="1215" spans="10:16" x14ac:dyDescent="0.25">
      <c r="J1215" s="117"/>
      <c r="K1215" s="117"/>
      <c r="L1215" s="117"/>
      <c r="M1215" s="117"/>
      <c r="N1215" s="23"/>
      <c r="O1215" s="23"/>
      <c r="P1215" s="23"/>
    </row>
    <row r="1216" spans="10:16" x14ac:dyDescent="0.25">
      <c r="J1216" s="117"/>
      <c r="K1216" s="117"/>
      <c r="L1216" s="117"/>
      <c r="M1216" s="117"/>
      <c r="N1216" s="23"/>
      <c r="O1216" s="23"/>
      <c r="P1216" s="23"/>
    </row>
    <row r="1217" spans="10:16" x14ac:dyDescent="0.25">
      <c r="J1217" s="117"/>
      <c r="K1217" s="117"/>
      <c r="L1217" s="117"/>
      <c r="M1217" s="117"/>
      <c r="N1217" s="23"/>
      <c r="O1217" s="23"/>
      <c r="P1217" s="23"/>
    </row>
    <row r="1218" spans="10:16" x14ac:dyDescent="0.25">
      <c r="J1218" s="117"/>
      <c r="K1218" s="117"/>
      <c r="L1218" s="117"/>
      <c r="M1218" s="117"/>
      <c r="N1218" s="23"/>
      <c r="O1218" s="23"/>
      <c r="P1218" s="23"/>
    </row>
    <row r="1219" spans="10:16" x14ac:dyDescent="0.25">
      <c r="J1219" s="117"/>
      <c r="K1219" s="117"/>
      <c r="L1219" s="117"/>
      <c r="M1219" s="117"/>
      <c r="N1219" s="23"/>
      <c r="O1219" s="23"/>
      <c r="P1219" s="23"/>
    </row>
    <row r="1220" spans="10:16" x14ac:dyDescent="0.25">
      <c r="J1220" s="117"/>
      <c r="K1220" s="117"/>
      <c r="L1220" s="117"/>
      <c r="M1220" s="117"/>
      <c r="N1220" s="23"/>
      <c r="O1220" s="23"/>
      <c r="P1220" s="23"/>
    </row>
    <row r="1221" spans="10:16" x14ac:dyDescent="0.25">
      <c r="J1221" s="117"/>
      <c r="K1221" s="117"/>
      <c r="L1221" s="117"/>
      <c r="M1221" s="117"/>
      <c r="N1221" s="23"/>
      <c r="O1221" s="23"/>
      <c r="P1221" s="23"/>
    </row>
    <row r="1222" spans="10:16" x14ac:dyDescent="0.25">
      <c r="J1222" s="117"/>
      <c r="K1222" s="117"/>
      <c r="L1222" s="117"/>
      <c r="M1222" s="117"/>
      <c r="N1222" s="23"/>
      <c r="O1222" s="23"/>
      <c r="P1222" s="23"/>
    </row>
    <row r="1223" spans="10:16" x14ac:dyDescent="0.25">
      <c r="J1223" s="117"/>
      <c r="K1223" s="117"/>
      <c r="L1223" s="117"/>
      <c r="M1223" s="117"/>
      <c r="N1223" s="23"/>
      <c r="O1223" s="23"/>
      <c r="P1223" s="23"/>
    </row>
    <row r="1224" spans="10:16" x14ac:dyDescent="0.25">
      <c r="J1224" s="117"/>
      <c r="K1224" s="117"/>
      <c r="L1224" s="117"/>
      <c r="M1224" s="117"/>
      <c r="N1224" s="23"/>
      <c r="O1224" s="23"/>
      <c r="P1224" s="23"/>
    </row>
    <row r="1225" spans="10:16" x14ac:dyDescent="0.25">
      <c r="J1225" s="117"/>
      <c r="K1225" s="117"/>
      <c r="L1225" s="117"/>
      <c r="M1225" s="117"/>
      <c r="N1225" s="23"/>
      <c r="O1225" s="23"/>
      <c r="P1225" s="23"/>
    </row>
    <row r="1226" spans="10:16" x14ac:dyDescent="0.25">
      <c r="J1226" s="117"/>
      <c r="K1226" s="117"/>
      <c r="L1226" s="117"/>
      <c r="M1226" s="117"/>
      <c r="N1226" s="23"/>
      <c r="O1226" s="23"/>
      <c r="P1226" s="23"/>
    </row>
    <row r="1227" spans="10:16" x14ac:dyDescent="0.25">
      <c r="J1227" s="117"/>
      <c r="K1227" s="117"/>
      <c r="L1227" s="117"/>
      <c r="M1227" s="117"/>
      <c r="N1227" s="23"/>
      <c r="O1227" s="23"/>
      <c r="P1227" s="23"/>
    </row>
    <row r="1228" spans="10:16" x14ac:dyDescent="0.25">
      <c r="J1228" s="117"/>
      <c r="K1228" s="117"/>
      <c r="L1228" s="117"/>
      <c r="M1228" s="117"/>
      <c r="N1228" s="23"/>
      <c r="O1228" s="23"/>
      <c r="P1228" s="23"/>
    </row>
    <row r="1229" spans="10:16" x14ac:dyDescent="0.25">
      <c r="J1229" s="117"/>
      <c r="K1229" s="117"/>
      <c r="L1229" s="117"/>
      <c r="M1229" s="117"/>
      <c r="N1229" s="23"/>
      <c r="O1229" s="23"/>
      <c r="P1229" s="23"/>
    </row>
    <row r="1230" spans="10:16" x14ac:dyDescent="0.25">
      <c r="J1230" s="117"/>
      <c r="K1230" s="117"/>
      <c r="L1230" s="117"/>
      <c r="M1230" s="117"/>
      <c r="N1230" s="23"/>
      <c r="O1230" s="23"/>
      <c r="P1230" s="23"/>
    </row>
    <row r="1231" spans="10:16" x14ac:dyDescent="0.25">
      <c r="J1231" s="117"/>
      <c r="K1231" s="117"/>
      <c r="L1231" s="117"/>
      <c r="M1231" s="117"/>
      <c r="N1231" s="23"/>
      <c r="O1231" s="23"/>
      <c r="P1231" s="23"/>
    </row>
    <row r="1232" spans="10:16" x14ac:dyDescent="0.25">
      <c r="J1232" s="117"/>
      <c r="K1232" s="117"/>
      <c r="L1232" s="117"/>
      <c r="M1232" s="117"/>
      <c r="N1232" s="23"/>
      <c r="O1232" s="23"/>
      <c r="P1232" s="23"/>
    </row>
    <row r="1233" spans="10:16" x14ac:dyDescent="0.25">
      <c r="J1233" s="117"/>
      <c r="K1233" s="117"/>
      <c r="L1233" s="117"/>
      <c r="M1233" s="117"/>
      <c r="N1233" s="23"/>
      <c r="O1233" s="23"/>
      <c r="P1233" s="23"/>
    </row>
    <row r="1234" spans="10:16" x14ac:dyDescent="0.25">
      <c r="J1234" s="117"/>
      <c r="K1234" s="117"/>
      <c r="L1234" s="117"/>
      <c r="M1234" s="117"/>
      <c r="N1234" s="23"/>
      <c r="O1234" s="23"/>
      <c r="P1234" s="23"/>
    </row>
    <row r="1235" spans="10:16" x14ac:dyDescent="0.25">
      <c r="J1235" s="117"/>
      <c r="K1235" s="117"/>
      <c r="L1235" s="117"/>
      <c r="M1235" s="117"/>
      <c r="N1235" s="23"/>
      <c r="O1235" s="23"/>
      <c r="P1235" s="23"/>
    </row>
    <row r="1236" spans="10:16" x14ac:dyDescent="0.25">
      <c r="J1236" s="117"/>
      <c r="K1236" s="117"/>
      <c r="L1236" s="117"/>
      <c r="M1236" s="117"/>
      <c r="N1236" s="23"/>
      <c r="O1236" s="23"/>
      <c r="P1236" s="23"/>
    </row>
    <row r="1237" spans="10:16" x14ac:dyDescent="0.25">
      <c r="J1237" s="117"/>
      <c r="K1237" s="117"/>
      <c r="L1237" s="117"/>
      <c r="M1237" s="117"/>
      <c r="N1237" s="23"/>
      <c r="O1237" s="23"/>
      <c r="P1237" s="23"/>
    </row>
    <row r="1238" spans="10:16" x14ac:dyDescent="0.25">
      <c r="J1238" s="117"/>
      <c r="K1238" s="117"/>
      <c r="L1238" s="117"/>
      <c r="M1238" s="117"/>
      <c r="N1238" s="23"/>
      <c r="O1238" s="23"/>
      <c r="P1238" s="23"/>
    </row>
    <row r="1239" spans="10:16" x14ac:dyDescent="0.25">
      <c r="J1239" s="117"/>
      <c r="K1239" s="117"/>
      <c r="L1239" s="117"/>
      <c r="M1239" s="117"/>
      <c r="N1239" s="23"/>
      <c r="O1239" s="23"/>
      <c r="P1239" s="23"/>
    </row>
    <row r="1240" spans="10:16" x14ac:dyDescent="0.25">
      <c r="J1240" s="117"/>
      <c r="K1240" s="117"/>
      <c r="L1240" s="117"/>
      <c r="M1240" s="117"/>
      <c r="N1240" s="23"/>
      <c r="O1240" s="23"/>
      <c r="P1240" s="23"/>
    </row>
    <row r="1241" spans="10:16" x14ac:dyDescent="0.25">
      <c r="J1241" s="117"/>
      <c r="K1241" s="117"/>
      <c r="L1241" s="117"/>
      <c r="M1241" s="117"/>
      <c r="N1241" s="23"/>
      <c r="O1241" s="23"/>
      <c r="P1241" s="23"/>
    </row>
    <row r="1242" spans="10:16" x14ac:dyDescent="0.25">
      <c r="J1242" s="117"/>
      <c r="K1242" s="117"/>
      <c r="L1242" s="117"/>
      <c r="M1242" s="117"/>
      <c r="N1242" s="23"/>
      <c r="O1242" s="23"/>
      <c r="P1242" s="23"/>
    </row>
    <row r="1243" spans="10:16" x14ac:dyDescent="0.25">
      <c r="J1243" s="117"/>
      <c r="K1243" s="117"/>
      <c r="L1243" s="117"/>
      <c r="M1243" s="117"/>
      <c r="N1243" s="23"/>
      <c r="O1243" s="23"/>
      <c r="P1243" s="23"/>
    </row>
    <row r="1244" spans="10:16" x14ac:dyDescent="0.25">
      <c r="J1244" s="117"/>
      <c r="K1244" s="117"/>
      <c r="L1244" s="117"/>
      <c r="M1244" s="117"/>
      <c r="N1244" s="23"/>
      <c r="O1244" s="23"/>
      <c r="P1244" s="23"/>
    </row>
    <row r="1245" spans="10:16" x14ac:dyDescent="0.25">
      <c r="J1245" s="117"/>
      <c r="K1245" s="117"/>
      <c r="L1245" s="117"/>
      <c r="M1245" s="117"/>
      <c r="N1245" s="23"/>
      <c r="O1245" s="23"/>
      <c r="P1245" s="23"/>
    </row>
    <row r="1246" spans="10:16" x14ac:dyDescent="0.25">
      <c r="J1246" s="117"/>
      <c r="K1246" s="117"/>
      <c r="L1246" s="117"/>
      <c r="M1246" s="117"/>
      <c r="N1246" s="23"/>
      <c r="O1246" s="23"/>
      <c r="P1246" s="23"/>
    </row>
    <row r="1247" spans="10:16" x14ac:dyDescent="0.25">
      <c r="J1247" s="117"/>
      <c r="K1247" s="117"/>
      <c r="L1247" s="117"/>
      <c r="M1247" s="117"/>
      <c r="N1247" s="23"/>
      <c r="O1247" s="23"/>
      <c r="P1247" s="23"/>
    </row>
    <row r="1248" spans="10:16" x14ac:dyDescent="0.25">
      <c r="J1248" s="117"/>
      <c r="K1248" s="117"/>
      <c r="L1248" s="117"/>
      <c r="M1248" s="117"/>
      <c r="N1248" s="23"/>
      <c r="O1248" s="23"/>
      <c r="P1248" s="23"/>
    </row>
    <row r="1249" spans="10:16" x14ac:dyDescent="0.25">
      <c r="J1249" s="117"/>
      <c r="K1249" s="117"/>
      <c r="L1249" s="117"/>
      <c r="M1249" s="117"/>
      <c r="N1249" s="23"/>
      <c r="O1249" s="23"/>
      <c r="P1249" s="23"/>
    </row>
    <row r="1250" spans="10:16" x14ac:dyDescent="0.25">
      <c r="J1250" s="117"/>
      <c r="K1250" s="117"/>
      <c r="L1250" s="117"/>
      <c r="M1250" s="117"/>
      <c r="N1250" s="23"/>
      <c r="O1250" s="23"/>
      <c r="P1250" s="23"/>
    </row>
    <row r="1251" spans="10:16" x14ac:dyDescent="0.25">
      <c r="J1251" s="117"/>
      <c r="K1251" s="117"/>
      <c r="L1251" s="117"/>
      <c r="M1251" s="117"/>
      <c r="N1251" s="23"/>
      <c r="O1251" s="23"/>
      <c r="P1251" s="23"/>
    </row>
    <row r="1252" spans="10:16" x14ac:dyDescent="0.25">
      <c r="J1252" s="117"/>
      <c r="K1252" s="117"/>
      <c r="L1252" s="117"/>
      <c r="M1252" s="117"/>
      <c r="N1252" s="23"/>
      <c r="O1252" s="23"/>
      <c r="P1252" s="23"/>
    </row>
    <row r="1253" spans="10:16" x14ac:dyDescent="0.25">
      <c r="J1253" s="117"/>
      <c r="K1253" s="117"/>
      <c r="L1253" s="117"/>
      <c r="M1253" s="117"/>
      <c r="N1253" s="23"/>
      <c r="O1253" s="23"/>
      <c r="P1253" s="23"/>
    </row>
    <row r="1254" spans="10:16" x14ac:dyDescent="0.25">
      <c r="J1254" s="117"/>
      <c r="K1254" s="117"/>
      <c r="L1254" s="117"/>
      <c r="M1254" s="117"/>
      <c r="N1254" s="23"/>
      <c r="O1254" s="23"/>
      <c r="P1254" s="23"/>
    </row>
    <row r="1255" spans="10:16" x14ac:dyDescent="0.25">
      <c r="J1255" s="117"/>
      <c r="K1255" s="117"/>
      <c r="L1255" s="117"/>
      <c r="M1255" s="117"/>
      <c r="N1255" s="23"/>
      <c r="O1255" s="23"/>
      <c r="P1255" s="23"/>
    </row>
    <row r="1256" spans="10:16" x14ac:dyDescent="0.25">
      <c r="J1256" s="117"/>
      <c r="K1256" s="117"/>
      <c r="L1256" s="117"/>
      <c r="M1256" s="117"/>
      <c r="N1256" s="23"/>
      <c r="O1256" s="23"/>
      <c r="P1256" s="23"/>
    </row>
    <row r="1257" spans="10:16" x14ac:dyDescent="0.25">
      <c r="J1257" s="117"/>
      <c r="K1257" s="117"/>
      <c r="L1257" s="117"/>
      <c r="M1257" s="117"/>
      <c r="N1257" s="23"/>
      <c r="O1257" s="23"/>
      <c r="P1257" s="23"/>
    </row>
    <row r="1258" spans="10:16" x14ac:dyDescent="0.25">
      <c r="J1258" s="117"/>
      <c r="K1258" s="117"/>
      <c r="L1258" s="117"/>
      <c r="M1258" s="117"/>
      <c r="N1258" s="23"/>
      <c r="O1258" s="23"/>
      <c r="P1258" s="23"/>
    </row>
    <row r="1259" spans="10:16" x14ac:dyDescent="0.25">
      <c r="J1259" s="117"/>
      <c r="K1259" s="117"/>
      <c r="L1259" s="117"/>
      <c r="M1259" s="117"/>
      <c r="N1259" s="23"/>
      <c r="O1259" s="23"/>
      <c r="P1259" s="23"/>
    </row>
    <row r="1260" spans="10:16" x14ac:dyDescent="0.25">
      <c r="J1260" s="117"/>
      <c r="K1260" s="117"/>
      <c r="L1260" s="117"/>
      <c r="M1260" s="117"/>
      <c r="N1260" s="23"/>
      <c r="O1260" s="23"/>
      <c r="P1260" s="23"/>
    </row>
    <row r="1261" spans="10:16" x14ac:dyDescent="0.25">
      <c r="J1261" s="117"/>
      <c r="K1261" s="117"/>
      <c r="L1261" s="117"/>
      <c r="M1261" s="117"/>
      <c r="N1261" s="23"/>
      <c r="O1261" s="23"/>
      <c r="P1261" s="23"/>
    </row>
    <row r="1262" spans="10:16" x14ac:dyDescent="0.25">
      <c r="J1262" s="117"/>
      <c r="K1262" s="117"/>
      <c r="L1262" s="117"/>
      <c r="M1262" s="117"/>
      <c r="N1262" s="23"/>
      <c r="O1262" s="23"/>
      <c r="P1262" s="23"/>
    </row>
    <row r="1263" spans="10:16" x14ac:dyDescent="0.25">
      <c r="J1263" s="117"/>
      <c r="K1263" s="117"/>
      <c r="L1263" s="117"/>
      <c r="M1263" s="117"/>
      <c r="N1263" s="23"/>
      <c r="O1263" s="23"/>
      <c r="P1263" s="23"/>
    </row>
    <row r="1264" spans="10:16" x14ac:dyDescent="0.25">
      <c r="J1264" s="117"/>
      <c r="K1264" s="117"/>
      <c r="L1264" s="117"/>
      <c r="M1264" s="117"/>
      <c r="N1264" s="23"/>
      <c r="O1264" s="23"/>
      <c r="P1264" s="23"/>
    </row>
    <row r="1265" spans="10:16" x14ac:dyDescent="0.25">
      <c r="J1265" s="117"/>
      <c r="K1265" s="117"/>
      <c r="L1265" s="117"/>
      <c r="M1265" s="117"/>
      <c r="N1265" s="23"/>
      <c r="O1265" s="23"/>
      <c r="P1265" s="23"/>
    </row>
    <row r="1266" spans="10:16" x14ac:dyDescent="0.25">
      <c r="J1266" s="117"/>
      <c r="K1266" s="117"/>
      <c r="L1266" s="117"/>
      <c r="M1266" s="117"/>
      <c r="N1266" s="23"/>
      <c r="O1266" s="23"/>
      <c r="P1266" s="23"/>
    </row>
    <row r="1267" spans="10:16" x14ac:dyDescent="0.25">
      <c r="J1267" s="117"/>
      <c r="K1267" s="117"/>
      <c r="L1267" s="117"/>
      <c r="M1267" s="117"/>
      <c r="N1267" s="23"/>
      <c r="O1267" s="23"/>
      <c r="P1267" s="23"/>
    </row>
    <row r="1268" spans="10:16" x14ac:dyDescent="0.25">
      <c r="J1268" s="117"/>
      <c r="K1268" s="117"/>
      <c r="L1268" s="117"/>
      <c r="M1268" s="117"/>
      <c r="N1268" s="23"/>
      <c r="O1268" s="23"/>
      <c r="P1268" s="23"/>
    </row>
    <row r="1269" spans="10:16" x14ac:dyDescent="0.25">
      <c r="J1269" s="117"/>
      <c r="K1269" s="117"/>
      <c r="L1269" s="117"/>
      <c r="M1269" s="117"/>
      <c r="N1269" s="23"/>
      <c r="O1269" s="23"/>
      <c r="P1269" s="23"/>
    </row>
    <row r="1270" spans="10:16" x14ac:dyDescent="0.25">
      <c r="J1270" s="117"/>
      <c r="K1270" s="117"/>
      <c r="L1270" s="117"/>
      <c r="M1270" s="117"/>
      <c r="N1270" s="23"/>
      <c r="O1270" s="23"/>
      <c r="P1270" s="23"/>
    </row>
    <row r="1271" spans="10:16" x14ac:dyDescent="0.25">
      <c r="J1271" s="117"/>
      <c r="K1271" s="117"/>
      <c r="L1271" s="117"/>
      <c r="M1271" s="117"/>
      <c r="N1271" s="23"/>
      <c r="O1271" s="23"/>
      <c r="P1271" s="23"/>
    </row>
    <row r="1272" spans="10:16" x14ac:dyDescent="0.25">
      <c r="J1272" s="117"/>
      <c r="K1272" s="117"/>
      <c r="L1272" s="117"/>
      <c r="M1272" s="117"/>
      <c r="N1272" s="23"/>
      <c r="O1272" s="23"/>
      <c r="P1272" s="23"/>
    </row>
    <row r="1273" spans="10:16" x14ac:dyDescent="0.25">
      <c r="J1273" s="117"/>
      <c r="K1273" s="117"/>
      <c r="L1273" s="117"/>
      <c r="M1273" s="117"/>
      <c r="N1273" s="23"/>
      <c r="O1273" s="23"/>
      <c r="P1273" s="23"/>
    </row>
    <row r="1274" spans="10:16" x14ac:dyDescent="0.25">
      <c r="J1274" s="117"/>
      <c r="K1274" s="117"/>
      <c r="L1274" s="117"/>
      <c r="M1274" s="117"/>
      <c r="N1274" s="23"/>
      <c r="O1274" s="23"/>
      <c r="P1274" s="23"/>
    </row>
    <row r="1275" spans="10:16" x14ac:dyDescent="0.25">
      <c r="J1275" s="117"/>
      <c r="K1275" s="117"/>
      <c r="L1275" s="117"/>
      <c r="M1275" s="117"/>
      <c r="N1275" s="23"/>
      <c r="O1275" s="23"/>
      <c r="P1275" s="23"/>
    </row>
    <row r="1276" spans="10:16" x14ac:dyDescent="0.25">
      <c r="J1276" s="117"/>
      <c r="K1276" s="117"/>
      <c r="L1276" s="117"/>
      <c r="M1276" s="117"/>
      <c r="N1276" s="23"/>
      <c r="O1276" s="23"/>
      <c r="P1276" s="23"/>
    </row>
    <row r="1277" spans="10:16" x14ac:dyDescent="0.25">
      <c r="J1277" s="117"/>
      <c r="K1277" s="117"/>
      <c r="L1277" s="117"/>
      <c r="M1277" s="117"/>
      <c r="N1277" s="23"/>
      <c r="O1277" s="23"/>
      <c r="P1277" s="23"/>
    </row>
    <row r="1278" spans="10:16" x14ac:dyDescent="0.25">
      <c r="J1278" s="117"/>
      <c r="K1278" s="117"/>
      <c r="L1278" s="117"/>
      <c r="M1278" s="117"/>
      <c r="N1278" s="23"/>
      <c r="O1278" s="23"/>
      <c r="P1278" s="23"/>
    </row>
    <row r="1279" spans="10:16" x14ac:dyDescent="0.25">
      <c r="J1279" s="117"/>
      <c r="K1279" s="117"/>
      <c r="L1279" s="117"/>
      <c r="M1279" s="117"/>
      <c r="N1279" s="23"/>
      <c r="O1279" s="23"/>
      <c r="P1279" s="23"/>
    </row>
    <row r="1280" spans="10:16" x14ac:dyDescent="0.25">
      <c r="J1280" s="117"/>
      <c r="K1280" s="117"/>
      <c r="L1280" s="117"/>
      <c r="M1280" s="117"/>
      <c r="N1280" s="23"/>
      <c r="O1280" s="23"/>
      <c r="P1280" s="23"/>
    </row>
    <row r="1281" spans="10:16" x14ac:dyDescent="0.25">
      <c r="J1281" s="117"/>
      <c r="K1281" s="117"/>
      <c r="L1281" s="117"/>
      <c r="M1281" s="117"/>
      <c r="N1281" s="23"/>
      <c r="O1281" s="23"/>
      <c r="P1281" s="23"/>
    </row>
    <row r="1282" spans="10:16" x14ac:dyDescent="0.25">
      <c r="J1282" s="117"/>
      <c r="K1282" s="117"/>
      <c r="L1282" s="117"/>
      <c r="M1282" s="117"/>
      <c r="N1282" s="23"/>
      <c r="O1282" s="23"/>
      <c r="P1282" s="23"/>
    </row>
    <row r="1283" spans="10:16" x14ac:dyDescent="0.25">
      <c r="J1283" s="117"/>
      <c r="K1283" s="117"/>
      <c r="L1283" s="117"/>
      <c r="M1283" s="117"/>
      <c r="N1283" s="23"/>
      <c r="O1283" s="23"/>
      <c r="P1283" s="23"/>
    </row>
    <row r="1284" spans="10:16" x14ac:dyDescent="0.25">
      <c r="J1284" s="117"/>
      <c r="K1284" s="117"/>
      <c r="L1284" s="117"/>
      <c r="M1284" s="117"/>
      <c r="N1284" s="23"/>
      <c r="O1284" s="23"/>
      <c r="P1284" s="23"/>
    </row>
    <row r="1285" spans="10:16" x14ac:dyDescent="0.25">
      <c r="J1285" s="117"/>
      <c r="K1285" s="117"/>
      <c r="L1285" s="117"/>
      <c r="M1285" s="117"/>
      <c r="N1285" s="23"/>
      <c r="O1285" s="23"/>
      <c r="P1285" s="23"/>
    </row>
    <row r="1286" spans="10:16" x14ac:dyDescent="0.25">
      <c r="J1286" s="117"/>
      <c r="K1286" s="117"/>
      <c r="L1286" s="117"/>
      <c r="M1286" s="117"/>
      <c r="N1286" s="23"/>
      <c r="O1286" s="23"/>
      <c r="P1286" s="23"/>
    </row>
    <row r="1287" spans="10:16" x14ac:dyDescent="0.25">
      <c r="J1287" s="117"/>
      <c r="K1287" s="117"/>
      <c r="L1287" s="117"/>
      <c r="M1287" s="117"/>
      <c r="N1287" s="23"/>
      <c r="O1287" s="23"/>
      <c r="P1287" s="23"/>
    </row>
    <row r="1288" spans="10:16" x14ac:dyDescent="0.25">
      <c r="J1288" s="117"/>
      <c r="K1288" s="117"/>
      <c r="L1288" s="117"/>
      <c r="M1288" s="117"/>
      <c r="N1288" s="23"/>
      <c r="O1288" s="23"/>
      <c r="P1288" s="23"/>
    </row>
    <row r="1289" spans="10:16" x14ac:dyDescent="0.25">
      <c r="J1289" s="117"/>
      <c r="K1289" s="117"/>
      <c r="L1289" s="117"/>
      <c r="M1289" s="117"/>
      <c r="N1289" s="23"/>
      <c r="O1289" s="23"/>
      <c r="P1289" s="23"/>
    </row>
    <row r="1290" spans="10:16" x14ac:dyDescent="0.25">
      <c r="J1290" s="117"/>
      <c r="K1290" s="117"/>
      <c r="L1290" s="117"/>
      <c r="M1290" s="117"/>
      <c r="N1290" s="23"/>
      <c r="O1290" s="23"/>
      <c r="P1290" s="23"/>
    </row>
    <row r="1291" spans="10:16" x14ac:dyDescent="0.25">
      <c r="J1291" s="117"/>
      <c r="K1291" s="117"/>
      <c r="L1291" s="117"/>
      <c r="M1291" s="117"/>
      <c r="N1291" s="23"/>
      <c r="O1291" s="23"/>
      <c r="P1291" s="23"/>
    </row>
    <row r="1292" spans="10:16" x14ac:dyDescent="0.25">
      <c r="J1292" s="117"/>
      <c r="K1292" s="117"/>
      <c r="L1292" s="117"/>
      <c r="M1292" s="117"/>
      <c r="N1292" s="23"/>
      <c r="O1292" s="23"/>
      <c r="P1292" s="23"/>
    </row>
    <row r="1293" spans="10:16" x14ac:dyDescent="0.25">
      <c r="J1293" s="117"/>
      <c r="K1293" s="117"/>
      <c r="L1293" s="117"/>
      <c r="M1293" s="117"/>
      <c r="N1293" s="23"/>
      <c r="O1293" s="23"/>
      <c r="P1293" s="23"/>
    </row>
    <row r="1294" spans="10:16" x14ac:dyDescent="0.25">
      <c r="J1294" s="117"/>
      <c r="K1294" s="117"/>
      <c r="L1294" s="117"/>
      <c r="M1294" s="117"/>
      <c r="N1294" s="23"/>
      <c r="O1294" s="23"/>
      <c r="P1294" s="23"/>
    </row>
    <row r="1295" spans="10:16" x14ac:dyDescent="0.25">
      <c r="J1295" s="117"/>
      <c r="K1295" s="117"/>
      <c r="L1295" s="117"/>
      <c r="M1295" s="117"/>
      <c r="N1295" s="23"/>
      <c r="O1295" s="23"/>
      <c r="P1295" s="23"/>
    </row>
    <row r="1296" spans="10:16" x14ac:dyDescent="0.25">
      <c r="J1296" s="117"/>
      <c r="K1296" s="117"/>
      <c r="L1296" s="117"/>
      <c r="M1296" s="117"/>
      <c r="N1296" s="23"/>
      <c r="O1296" s="23"/>
      <c r="P1296" s="23"/>
    </row>
    <row r="1297" spans="10:16" x14ac:dyDescent="0.25">
      <c r="J1297" s="117"/>
      <c r="K1297" s="117"/>
      <c r="L1297" s="117"/>
      <c r="M1297" s="117"/>
      <c r="N1297" s="23"/>
      <c r="O1297" s="23"/>
      <c r="P1297" s="23"/>
    </row>
    <row r="1298" spans="10:16" x14ac:dyDescent="0.25">
      <c r="J1298" s="117"/>
      <c r="K1298" s="117"/>
      <c r="L1298" s="117"/>
      <c r="M1298" s="117"/>
      <c r="N1298" s="23"/>
      <c r="O1298" s="23"/>
      <c r="P1298" s="23"/>
    </row>
    <row r="1299" spans="10:16" x14ac:dyDescent="0.25">
      <c r="J1299" s="117"/>
      <c r="K1299" s="117"/>
      <c r="L1299" s="117"/>
      <c r="M1299" s="117"/>
      <c r="N1299" s="23"/>
      <c r="O1299" s="23"/>
      <c r="P1299" s="23"/>
    </row>
    <row r="1300" spans="10:16" x14ac:dyDescent="0.25">
      <c r="J1300" s="117"/>
      <c r="K1300" s="117"/>
      <c r="L1300" s="117"/>
      <c r="M1300" s="117"/>
      <c r="N1300" s="23"/>
      <c r="O1300" s="23"/>
      <c r="P1300" s="23"/>
    </row>
    <row r="1301" spans="10:16" x14ac:dyDescent="0.25">
      <c r="J1301" s="117"/>
      <c r="K1301" s="117"/>
      <c r="L1301" s="117"/>
      <c r="M1301" s="117"/>
      <c r="N1301" s="23"/>
      <c r="O1301" s="23"/>
      <c r="P1301" s="23"/>
    </row>
    <row r="1302" spans="10:16" x14ac:dyDescent="0.25">
      <c r="J1302" s="117"/>
      <c r="K1302" s="117"/>
      <c r="L1302" s="117"/>
      <c r="M1302" s="117"/>
      <c r="N1302" s="23"/>
      <c r="O1302" s="23"/>
      <c r="P1302" s="23"/>
    </row>
    <row r="1303" spans="10:16" x14ac:dyDescent="0.25">
      <c r="J1303" s="117"/>
      <c r="K1303" s="117"/>
      <c r="L1303" s="117"/>
      <c r="M1303" s="117"/>
      <c r="N1303" s="23"/>
      <c r="O1303" s="23"/>
      <c r="P1303" s="23"/>
    </row>
    <row r="1304" spans="10:16" x14ac:dyDescent="0.25">
      <c r="J1304" s="117"/>
      <c r="K1304" s="117"/>
      <c r="L1304" s="117"/>
      <c r="M1304" s="117"/>
      <c r="N1304" s="23"/>
      <c r="O1304" s="23"/>
      <c r="P1304" s="23"/>
    </row>
    <row r="1305" spans="10:16" x14ac:dyDescent="0.25">
      <c r="J1305" s="117"/>
      <c r="K1305" s="117"/>
      <c r="L1305" s="117"/>
      <c r="M1305" s="117"/>
      <c r="N1305" s="23"/>
      <c r="O1305" s="23"/>
      <c r="P1305" s="23"/>
    </row>
    <row r="1306" spans="10:16" x14ac:dyDescent="0.25">
      <c r="J1306" s="117"/>
      <c r="K1306" s="117"/>
      <c r="L1306" s="117"/>
      <c r="M1306" s="117"/>
      <c r="N1306" s="23"/>
      <c r="O1306" s="23"/>
      <c r="P1306" s="23"/>
    </row>
    <row r="1307" spans="10:16" x14ac:dyDescent="0.25">
      <c r="J1307" s="117"/>
      <c r="K1307" s="117"/>
      <c r="L1307" s="117"/>
      <c r="M1307" s="117"/>
      <c r="N1307" s="23"/>
      <c r="O1307" s="23"/>
      <c r="P1307" s="23"/>
    </row>
    <row r="1308" spans="10:16" x14ac:dyDescent="0.25">
      <c r="J1308" s="117"/>
      <c r="K1308" s="117"/>
      <c r="L1308" s="117"/>
      <c r="M1308" s="117"/>
      <c r="N1308" s="23"/>
      <c r="O1308" s="23"/>
      <c r="P1308" s="23"/>
    </row>
    <row r="1309" spans="10:16" x14ac:dyDescent="0.25">
      <c r="J1309" s="117"/>
      <c r="K1309" s="117"/>
      <c r="L1309" s="117"/>
      <c r="M1309" s="117"/>
      <c r="N1309" s="23"/>
      <c r="O1309" s="23"/>
      <c r="P1309" s="23"/>
    </row>
    <row r="1310" spans="10:16" x14ac:dyDescent="0.25">
      <c r="J1310" s="117"/>
      <c r="K1310" s="117"/>
      <c r="L1310" s="117"/>
      <c r="M1310" s="117"/>
      <c r="N1310" s="23"/>
      <c r="O1310" s="23"/>
      <c r="P1310" s="23"/>
    </row>
    <row r="1311" spans="10:16" x14ac:dyDescent="0.25">
      <c r="J1311" s="117"/>
      <c r="K1311" s="117"/>
      <c r="L1311" s="117"/>
      <c r="M1311" s="117"/>
      <c r="N1311" s="23"/>
      <c r="O1311" s="23"/>
      <c r="P1311" s="23"/>
    </row>
    <row r="1312" spans="10:16" x14ac:dyDescent="0.25">
      <c r="J1312" s="117"/>
      <c r="K1312" s="117"/>
      <c r="L1312" s="117"/>
      <c r="M1312" s="117"/>
      <c r="N1312" s="23"/>
      <c r="O1312" s="23"/>
      <c r="P1312" s="23"/>
    </row>
    <row r="1313" spans="10:16" x14ac:dyDescent="0.25">
      <c r="J1313" s="117"/>
      <c r="K1313" s="117"/>
      <c r="L1313" s="117"/>
      <c r="M1313" s="117"/>
      <c r="N1313" s="23"/>
      <c r="O1313" s="23"/>
      <c r="P1313" s="23"/>
    </row>
    <row r="1314" spans="10:16" x14ac:dyDescent="0.25">
      <c r="J1314" s="117"/>
      <c r="K1314" s="117"/>
      <c r="L1314" s="117"/>
      <c r="M1314" s="117"/>
      <c r="N1314" s="23"/>
      <c r="O1314" s="23"/>
      <c r="P1314" s="23"/>
    </row>
    <row r="1315" spans="10:16" x14ac:dyDescent="0.25">
      <c r="J1315" s="117"/>
      <c r="K1315" s="117"/>
      <c r="L1315" s="117"/>
      <c r="M1315" s="117"/>
      <c r="N1315" s="23"/>
      <c r="O1315" s="23"/>
      <c r="P1315" s="23"/>
    </row>
    <row r="1316" spans="10:16" x14ac:dyDescent="0.25">
      <c r="J1316" s="117"/>
      <c r="K1316" s="117"/>
      <c r="L1316" s="117"/>
      <c r="M1316" s="117"/>
      <c r="N1316" s="23"/>
      <c r="O1316" s="23"/>
      <c r="P1316" s="23"/>
    </row>
    <row r="1317" spans="10:16" x14ac:dyDescent="0.25">
      <c r="J1317" s="117"/>
      <c r="K1317" s="117"/>
      <c r="L1317" s="117"/>
      <c r="M1317" s="117"/>
      <c r="N1317" s="23"/>
      <c r="O1317" s="23"/>
      <c r="P1317" s="23"/>
    </row>
    <row r="1318" spans="10:16" x14ac:dyDescent="0.25">
      <c r="J1318" s="117"/>
      <c r="K1318" s="117"/>
      <c r="L1318" s="117"/>
      <c r="M1318" s="117"/>
      <c r="N1318" s="23"/>
      <c r="O1318" s="23"/>
      <c r="P1318" s="23"/>
    </row>
    <row r="1319" spans="10:16" x14ac:dyDescent="0.25">
      <c r="J1319" s="117"/>
      <c r="K1319" s="117"/>
      <c r="L1319" s="117"/>
      <c r="M1319" s="117"/>
      <c r="N1319" s="23"/>
      <c r="O1319" s="23"/>
      <c r="P1319" s="23"/>
    </row>
    <row r="1320" spans="10:16" x14ac:dyDescent="0.25">
      <c r="J1320" s="117"/>
      <c r="K1320" s="117"/>
      <c r="L1320" s="117"/>
      <c r="M1320" s="117"/>
      <c r="N1320" s="23"/>
      <c r="O1320" s="23"/>
      <c r="P1320" s="23"/>
    </row>
    <row r="1321" spans="10:16" x14ac:dyDescent="0.25">
      <c r="J1321" s="117"/>
      <c r="K1321" s="117"/>
      <c r="L1321" s="117"/>
      <c r="M1321" s="117"/>
      <c r="N1321" s="23"/>
      <c r="O1321" s="23"/>
      <c r="P1321" s="23"/>
    </row>
    <row r="1322" spans="10:16" x14ac:dyDescent="0.25">
      <c r="J1322" s="117"/>
      <c r="K1322" s="117"/>
      <c r="L1322" s="117"/>
      <c r="M1322" s="117"/>
      <c r="N1322" s="23"/>
      <c r="O1322" s="23"/>
      <c r="P1322" s="23"/>
    </row>
    <row r="1323" spans="10:16" x14ac:dyDescent="0.25">
      <c r="J1323" s="117"/>
      <c r="K1323" s="117"/>
      <c r="L1323" s="117"/>
      <c r="M1323" s="117"/>
      <c r="N1323" s="23"/>
      <c r="O1323" s="23"/>
      <c r="P1323" s="23"/>
    </row>
    <row r="1324" spans="10:16" x14ac:dyDescent="0.25">
      <c r="J1324" s="117"/>
      <c r="K1324" s="117"/>
      <c r="L1324" s="117"/>
      <c r="M1324" s="117"/>
      <c r="N1324" s="23"/>
      <c r="O1324" s="23"/>
      <c r="P1324" s="23"/>
    </row>
    <row r="1325" spans="10:16" x14ac:dyDescent="0.25">
      <c r="J1325" s="117"/>
      <c r="K1325" s="117"/>
      <c r="L1325" s="117"/>
      <c r="M1325" s="117"/>
      <c r="N1325" s="23"/>
      <c r="O1325" s="23"/>
      <c r="P1325" s="23"/>
    </row>
    <row r="1326" spans="10:16" x14ac:dyDescent="0.25">
      <c r="J1326" s="117"/>
      <c r="K1326" s="117"/>
      <c r="L1326" s="117"/>
      <c r="M1326" s="117"/>
      <c r="N1326" s="23"/>
      <c r="O1326" s="23"/>
      <c r="P1326" s="23"/>
    </row>
    <row r="1327" spans="10:16" x14ac:dyDescent="0.25">
      <c r="J1327" s="117"/>
      <c r="K1327" s="117"/>
      <c r="L1327" s="117"/>
      <c r="M1327" s="117"/>
      <c r="N1327" s="23"/>
      <c r="O1327" s="23"/>
      <c r="P1327" s="23"/>
    </row>
    <row r="1328" spans="10:16" x14ac:dyDescent="0.25">
      <c r="J1328" s="117"/>
      <c r="K1328" s="117"/>
      <c r="L1328" s="117"/>
      <c r="M1328" s="117"/>
      <c r="N1328" s="23"/>
      <c r="O1328" s="23"/>
      <c r="P1328" s="23"/>
    </row>
    <row r="1329" spans="10:16" x14ac:dyDescent="0.25">
      <c r="J1329" s="117"/>
      <c r="K1329" s="117"/>
      <c r="L1329" s="117"/>
      <c r="M1329" s="117"/>
      <c r="N1329" s="23"/>
      <c r="O1329" s="23"/>
      <c r="P1329" s="23"/>
    </row>
    <row r="1330" spans="10:16" x14ac:dyDescent="0.25">
      <c r="J1330" s="117"/>
      <c r="K1330" s="117"/>
      <c r="L1330" s="117"/>
      <c r="M1330" s="117"/>
      <c r="N1330" s="23"/>
      <c r="O1330" s="23"/>
      <c r="P1330" s="23"/>
    </row>
    <row r="1331" spans="10:16" x14ac:dyDescent="0.25">
      <c r="J1331" s="117"/>
      <c r="K1331" s="117"/>
      <c r="L1331" s="117"/>
      <c r="M1331" s="117"/>
      <c r="N1331" s="23"/>
      <c r="O1331" s="23"/>
      <c r="P1331" s="23"/>
    </row>
    <row r="1332" spans="10:16" x14ac:dyDescent="0.25">
      <c r="J1332" s="117"/>
      <c r="K1332" s="117"/>
      <c r="L1332" s="117"/>
      <c r="M1332" s="117"/>
      <c r="N1332" s="23"/>
      <c r="O1332" s="23"/>
      <c r="P1332" s="23"/>
    </row>
    <row r="1333" spans="10:16" x14ac:dyDescent="0.25">
      <c r="J1333" s="117"/>
      <c r="K1333" s="117"/>
      <c r="L1333" s="117"/>
      <c r="M1333" s="117"/>
      <c r="N1333" s="23"/>
      <c r="O1333" s="23"/>
      <c r="P1333" s="23"/>
    </row>
    <row r="1334" spans="10:16" x14ac:dyDescent="0.25">
      <c r="J1334" s="117"/>
      <c r="K1334" s="117"/>
      <c r="L1334" s="117"/>
      <c r="M1334" s="117"/>
      <c r="N1334" s="23"/>
      <c r="O1334" s="23"/>
      <c r="P1334" s="23"/>
    </row>
    <row r="1335" spans="10:16" x14ac:dyDescent="0.25">
      <c r="J1335" s="117"/>
      <c r="K1335" s="117"/>
      <c r="L1335" s="117"/>
      <c r="M1335" s="117"/>
      <c r="N1335" s="23"/>
      <c r="O1335" s="23"/>
      <c r="P1335" s="23"/>
    </row>
    <row r="1336" spans="10:16" x14ac:dyDescent="0.25">
      <c r="J1336" s="117"/>
      <c r="K1336" s="117"/>
      <c r="L1336" s="117"/>
      <c r="M1336" s="117"/>
      <c r="N1336" s="23"/>
      <c r="O1336" s="23"/>
      <c r="P1336" s="23"/>
    </row>
    <row r="1337" spans="10:16" x14ac:dyDescent="0.25">
      <c r="J1337" s="117"/>
      <c r="K1337" s="117"/>
      <c r="L1337" s="117"/>
      <c r="M1337" s="117"/>
      <c r="N1337" s="23"/>
      <c r="O1337" s="23"/>
      <c r="P1337" s="23"/>
    </row>
    <row r="1338" spans="10:16" x14ac:dyDescent="0.25">
      <c r="J1338" s="117"/>
      <c r="K1338" s="117"/>
      <c r="L1338" s="117"/>
      <c r="M1338" s="117"/>
      <c r="N1338" s="23"/>
      <c r="O1338" s="23"/>
      <c r="P1338" s="23"/>
    </row>
    <row r="1339" spans="10:16" x14ac:dyDescent="0.25">
      <c r="J1339" s="117"/>
      <c r="K1339" s="117"/>
      <c r="L1339" s="117"/>
      <c r="M1339" s="117"/>
      <c r="N1339" s="23"/>
      <c r="O1339" s="23"/>
      <c r="P1339" s="23"/>
    </row>
    <row r="1340" spans="10:16" x14ac:dyDescent="0.25">
      <c r="J1340" s="117"/>
      <c r="K1340" s="117"/>
      <c r="L1340" s="117"/>
      <c r="M1340" s="117"/>
      <c r="N1340" s="23"/>
      <c r="O1340" s="23"/>
      <c r="P1340" s="23"/>
    </row>
    <row r="1341" spans="10:16" x14ac:dyDescent="0.25">
      <c r="J1341" s="117"/>
      <c r="K1341" s="117"/>
      <c r="L1341" s="117"/>
      <c r="M1341" s="117"/>
      <c r="N1341" s="23"/>
      <c r="O1341" s="23"/>
      <c r="P1341" s="23"/>
    </row>
    <row r="1342" spans="10:16" x14ac:dyDescent="0.25">
      <c r="J1342" s="117"/>
      <c r="K1342" s="117"/>
      <c r="L1342" s="117"/>
      <c r="M1342" s="117"/>
      <c r="N1342" s="23"/>
      <c r="O1342" s="23"/>
      <c r="P1342" s="23"/>
    </row>
    <row r="1343" spans="10:16" x14ac:dyDescent="0.25">
      <c r="J1343" s="117"/>
      <c r="K1343" s="117"/>
      <c r="L1343" s="117"/>
      <c r="M1343" s="117"/>
      <c r="N1343" s="23"/>
      <c r="O1343" s="23"/>
      <c r="P1343" s="23"/>
    </row>
    <row r="1344" spans="10:16" x14ac:dyDescent="0.25">
      <c r="J1344" s="117"/>
      <c r="K1344" s="117"/>
      <c r="L1344" s="117"/>
      <c r="M1344" s="117"/>
      <c r="N1344" s="23"/>
      <c r="O1344" s="23"/>
      <c r="P1344" s="23"/>
    </row>
    <row r="1345" spans="10:16" x14ac:dyDescent="0.25">
      <c r="J1345" s="117"/>
      <c r="K1345" s="117"/>
      <c r="L1345" s="117"/>
      <c r="M1345" s="117"/>
      <c r="N1345" s="23"/>
      <c r="O1345" s="23"/>
      <c r="P1345" s="23"/>
    </row>
    <row r="1346" spans="10:16" x14ac:dyDescent="0.25">
      <c r="J1346" s="117"/>
      <c r="K1346" s="117"/>
      <c r="L1346" s="117"/>
      <c r="M1346" s="117"/>
      <c r="N1346" s="23"/>
      <c r="O1346" s="23"/>
      <c r="P1346" s="23"/>
    </row>
    <row r="1347" spans="10:16" x14ac:dyDescent="0.25">
      <c r="J1347" s="117"/>
      <c r="K1347" s="117"/>
      <c r="L1347" s="117"/>
      <c r="M1347" s="117"/>
      <c r="N1347" s="23"/>
      <c r="O1347" s="23"/>
      <c r="P1347" s="23"/>
    </row>
    <row r="1348" spans="10:16" x14ac:dyDescent="0.25">
      <c r="J1348" s="117"/>
      <c r="K1348" s="117"/>
      <c r="L1348" s="117"/>
      <c r="M1348" s="117"/>
      <c r="N1348" s="23"/>
      <c r="O1348" s="23"/>
      <c r="P1348" s="23"/>
    </row>
    <row r="1349" spans="10:16" x14ac:dyDescent="0.25">
      <c r="J1349" s="117"/>
      <c r="K1349" s="117"/>
      <c r="L1349" s="117"/>
      <c r="M1349" s="117"/>
      <c r="N1349" s="23"/>
      <c r="O1349" s="23"/>
      <c r="P1349" s="23"/>
    </row>
    <row r="1350" spans="10:16" x14ac:dyDescent="0.25">
      <c r="J1350" s="117"/>
      <c r="K1350" s="117"/>
      <c r="L1350" s="117"/>
      <c r="M1350" s="117"/>
      <c r="N1350" s="23"/>
      <c r="O1350" s="23"/>
      <c r="P1350" s="23"/>
    </row>
    <row r="1351" spans="10:16" x14ac:dyDescent="0.25">
      <c r="J1351" s="117"/>
      <c r="K1351" s="117"/>
      <c r="L1351" s="117"/>
      <c r="M1351" s="117"/>
      <c r="N1351" s="23"/>
      <c r="O1351" s="23"/>
      <c r="P1351" s="23"/>
    </row>
    <row r="1352" spans="10:16" x14ac:dyDescent="0.25">
      <c r="J1352" s="117"/>
      <c r="K1352" s="117"/>
      <c r="L1352" s="117"/>
      <c r="M1352" s="117"/>
      <c r="N1352" s="23"/>
      <c r="O1352" s="23"/>
      <c r="P1352" s="23"/>
    </row>
    <row r="1353" spans="10:16" x14ac:dyDescent="0.25">
      <c r="J1353" s="117"/>
      <c r="K1353" s="117"/>
      <c r="L1353" s="117"/>
      <c r="M1353" s="117"/>
      <c r="N1353" s="23"/>
      <c r="O1353" s="23"/>
      <c r="P1353" s="23"/>
    </row>
    <row r="1354" spans="10:16" x14ac:dyDescent="0.25">
      <c r="J1354" s="117"/>
      <c r="K1354" s="117"/>
      <c r="L1354" s="117"/>
      <c r="M1354" s="117"/>
      <c r="N1354" s="23"/>
      <c r="O1354" s="23"/>
      <c r="P1354" s="23"/>
    </row>
    <row r="1355" spans="10:16" x14ac:dyDescent="0.25">
      <c r="J1355" s="117"/>
      <c r="K1355" s="117"/>
      <c r="L1355" s="117"/>
      <c r="M1355" s="117"/>
      <c r="N1355" s="23"/>
      <c r="O1355" s="23"/>
      <c r="P1355" s="23"/>
    </row>
    <row r="1356" spans="10:16" x14ac:dyDescent="0.25">
      <c r="J1356" s="117"/>
      <c r="K1356" s="117"/>
      <c r="L1356" s="117"/>
      <c r="M1356" s="117"/>
      <c r="N1356" s="23"/>
      <c r="O1356" s="23"/>
      <c r="P1356" s="23"/>
    </row>
    <row r="1357" spans="10:16" x14ac:dyDescent="0.25">
      <c r="J1357" s="117"/>
      <c r="K1357" s="117"/>
      <c r="L1357" s="117"/>
      <c r="M1357" s="117"/>
      <c r="N1357" s="23"/>
      <c r="O1357" s="23"/>
      <c r="P1357" s="23"/>
    </row>
    <row r="1358" spans="10:16" x14ac:dyDescent="0.25">
      <c r="J1358" s="117"/>
      <c r="K1358" s="117"/>
      <c r="L1358" s="117"/>
      <c r="M1358" s="117"/>
      <c r="N1358" s="23"/>
      <c r="O1358" s="23"/>
      <c r="P1358" s="23"/>
    </row>
    <row r="1359" spans="10:16" x14ac:dyDescent="0.25">
      <c r="J1359" s="117"/>
      <c r="K1359" s="117"/>
      <c r="L1359" s="117"/>
      <c r="M1359" s="117"/>
      <c r="N1359" s="23"/>
      <c r="O1359" s="23"/>
      <c r="P1359" s="23"/>
    </row>
    <row r="1360" spans="10:16" x14ac:dyDescent="0.25">
      <c r="J1360" s="117"/>
      <c r="K1360" s="117"/>
      <c r="L1360" s="117"/>
      <c r="M1360" s="117"/>
      <c r="N1360" s="23"/>
      <c r="O1360" s="23"/>
      <c r="P1360" s="23"/>
    </row>
    <row r="1361" spans="10:16" x14ac:dyDescent="0.25">
      <c r="J1361" s="117"/>
      <c r="K1361" s="117"/>
      <c r="L1361" s="117"/>
      <c r="M1361" s="117"/>
      <c r="N1361" s="23"/>
      <c r="O1361" s="23"/>
      <c r="P1361" s="23"/>
    </row>
    <row r="1362" spans="10:16" x14ac:dyDescent="0.25">
      <c r="J1362" s="117"/>
      <c r="K1362" s="117"/>
      <c r="L1362" s="117"/>
      <c r="M1362" s="117"/>
      <c r="N1362" s="23"/>
      <c r="O1362" s="23"/>
      <c r="P1362" s="23"/>
    </row>
    <row r="1363" spans="10:16" x14ac:dyDescent="0.25">
      <c r="J1363" s="117"/>
      <c r="K1363" s="117"/>
      <c r="L1363" s="117"/>
      <c r="M1363" s="117"/>
      <c r="N1363" s="23"/>
      <c r="O1363" s="23"/>
      <c r="P1363" s="23"/>
    </row>
    <row r="1364" spans="10:16" x14ac:dyDescent="0.25">
      <c r="J1364" s="117"/>
      <c r="K1364" s="117"/>
      <c r="L1364" s="117"/>
      <c r="M1364" s="117"/>
      <c r="N1364" s="23"/>
      <c r="O1364" s="23"/>
      <c r="P1364" s="23"/>
    </row>
    <row r="1365" spans="10:16" x14ac:dyDescent="0.25">
      <c r="J1365" s="117"/>
      <c r="K1365" s="117"/>
      <c r="L1365" s="117"/>
      <c r="M1365" s="117"/>
      <c r="N1365" s="23"/>
      <c r="O1365" s="23"/>
      <c r="P1365" s="23"/>
    </row>
    <row r="1366" spans="10:16" x14ac:dyDescent="0.25">
      <c r="J1366" s="117"/>
      <c r="K1366" s="117"/>
      <c r="L1366" s="117"/>
      <c r="M1366" s="117"/>
      <c r="N1366" s="23"/>
      <c r="O1366" s="23"/>
      <c r="P1366" s="23"/>
    </row>
    <row r="1367" spans="10:16" x14ac:dyDescent="0.25">
      <c r="J1367" s="117"/>
      <c r="K1367" s="117"/>
      <c r="L1367" s="117"/>
      <c r="M1367" s="117"/>
      <c r="N1367" s="23"/>
      <c r="O1367" s="23"/>
      <c r="P1367" s="23"/>
    </row>
    <row r="1368" spans="10:16" x14ac:dyDescent="0.25">
      <c r="J1368" s="117"/>
      <c r="K1368" s="117"/>
      <c r="L1368" s="117"/>
      <c r="M1368" s="117"/>
      <c r="N1368" s="23"/>
      <c r="O1368" s="23"/>
      <c r="P1368" s="23"/>
    </row>
    <row r="1369" spans="10:16" x14ac:dyDescent="0.25">
      <c r="J1369" s="117"/>
      <c r="K1369" s="117"/>
      <c r="L1369" s="117"/>
      <c r="M1369" s="117"/>
      <c r="N1369" s="23"/>
      <c r="O1369" s="23"/>
      <c r="P1369" s="23"/>
    </row>
    <row r="1370" spans="10:16" x14ac:dyDescent="0.25">
      <c r="J1370" s="117"/>
      <c r="K1370" s="117"/>
      <c r="L1370" s="117"/>
      <c r="M1370" s="117"/>
      <c r="N1370" s="23"/>
      <c r="O1370" s="23"/>
      <c r="P1370" s="23"/>
    </row>
    <row r="1371" spans="10:16" x14ac:dyDescent="0.25">
      <c r="J1371" s="117"/>
      <c r="K1371" s="117"/>
      <c r="L1371" s="117"/>
      <c r="M1371" s="117"/>
      <c r="N1371" s="23"/>
      <c r="O1371" s="23"/>
      <c r="P1371" s="23"/>
    </row>
    <row r="1372" spans="10:16" x14ac:dyDescent="0.25">
      <c r="J1372" s="117"/>
      <c r="K1372" s="117"/>
      <c r="L1372" s="117"/>
      <c r="M1372" s="117"/>
      <c r="N1372" s="23"/>
      <c r="O1372" s="23"/>
      <c r="P1372" s="23"/>
    </row>
    <row r="1373" spans="10:16" x14ac:dyDescent="0.25">
      <c r="J1373" s="117"/>
      <c r="K1373" s="117"/>
      <c r="L1373" s="117"/>
      <c r="M1373" s="117"/>
      <c r="N1373" s="23"/>
      <c r="O1373" s="23"/>
      <c r="P1373" s="23"/>
    </row>
    <row r="1374" spans="10:16" x14ac:dyDescent="0.25">
      <c r="J1374" s="117"/>
      <c r="K1374" s="117"/>
      <c r="L1374" s="117"/>
      <c r="M1374" s="117"/>
      <c r="N1374" s="23"/>
      <c r="O1374" s="23"/>
      <c r="P1374" s="23"/>
    </row>
    <row r="1375" spans="10:16" x14ac:dyDescent="0.25">
      <c r="J1375" s="117"/>
      <c r="K1375" s="117"/>
      <c r="L1375" s="117"/>
      <c r="M1375" s="117"/>
      <c r="N1375" s="23"/>
      <c r="O1375" s="23"/>
      <c r="P1375" s="23"/>
    </row>
    <row r="1376" spans="10:16" x14ac:dyDescent="0.25">
      <c r="J1376" s="117"/>
      <c r="K1376" s="117"/>
      <c r="L1376" s="117"/>
      <c r="M1376" s="117"/>
      <c r="N1376" s="23"/>
      <c r="O1376" s="23"/>
      <c r="P1376" s="23"/>
    </row>
    <row r="1377" spans="10:16" x14ac:dyDescent="0.25">
      <c r="J1377" s="117"/>
      <c r="K1377" s="117"/>
      <c r="L1377" s="117"/>
      <c r="M1377" s="117"/>
      <c r="N1377" s="23"/>
      <c r="O1377" s="23"/>
      <c r="P1377" s="23"/>
    </row>
    <row r="1378" spans="10:16" x14ac:dyDescent="0.25">
      <c r="J1378" s="117"/>
      <c r="K1378" s="117"/>
      <c r="L1378" s="117"/>
      <c r="M1378" s="117"/>
      <c r="N1378" s="23"/>
      <c r="O1378" s="23"/>
      <c r="P1378" s="23"/>
    </row>
    <row r="1379" spans="10:16" x14ac:dyDescent="0.25">
      <c r="J1379" s="117"/>
      <c r="K1379" s="117"/>
      <c r="L1379" s="117"/>
      <c r="M1379" s="117"/>
      <c r="N1379" s="23"/>
      <c r="O1379" s="23"/>
      <c r="P1379" s="23"/>
    </row>
    <row r="1380" spans="10:16" x14ac:dyDescent="0.25">
      <c r="J1380" s="117"/>
      <c r="K1380" s="117"/>
      <c r="L1380" s="117"/>
      <c r="M1380" s="117"/>
      <c r="N1380" s="23"/>
      <c r="O1380" s="23"/>
      <c r="P1380" s="23"/>
    </row>
    <row r="1381" spans="10:16" x14ac:dyDescent="0.25">
      <c r="J1381" s="117"/>
      <c r="K1381" s="117"/>
      <c r="L1381" s="117"/>
      <c r="M1381" s="117"/>
      <c r="N1381" s="23"/>
      <c r="O1381" s="23"/>
      <c r="P1381" s="23"/>
    </row>
    <row r="1382" spans="10:16" x14ac:dyDescent="0.25">
      <c r="J1382" s="117"/>
      <c r="K1382" s="117"/>
      <c r="L1382" s="117"/>
      <c r="M1382" s="117"/>
      <c r="N1382" s="23"/>
      <c r="O1382" s="23"/>
      <c r="P1382" s="23"/>
    </row>
    <row r="1383" spans="10:16" x14ac:dyDescent="0.25">
      <c r="J1383" s="117"/>
      <c r="K1383" s="117"/>
      <c r="L1383" s="117"/>
      <c r="M1383" s="117"/>
      <c r="N1383" s="23"/>
      <c r="O1383" s="23"/>
      <c r="P1383" s="23"/>
    </row>
    <row r="1384" spans="10:16" x14ac:dyDescent="0.25">
      <c r="J1384" s="117"/>
      <c r="K1384" s="117"/>
      <c r="L1384" s="117"/>
      <c r="M1384" s="117"/>
      <c r="N1384" s="23"/>
      <c r="O1384" s="23"/>
      <c r="P1384" s="23"/>
    </row>
    <row r="1385" spans="10:16" x14ac:dyDescent="0.25">
      <c r="J1385" s="117"/>
      <c r="K1385" s="117"/>
      <c r="L1385" s="117"/>
      <c r="M1385" s="117"/>
      <c r="N1385" s="23"/>
      <c r="O1385" s="23"/>
      <c r="P1385" s="23"/>
    </row>
    <row r="1386" spans="10:16" x14ac:dyDescent="0.25">
      <c r="J1386" s="117"/>
      <c r="K1386" s="117"/>
      <c r="L1386" s="117"/>
      <c r="M1386" s="117"/>
      <c r="N1386" s="23"/>
      <c r="O1386" s="23"/>
      <c r="P1386" s="23"/>
    </row>
    <row r="1387" spans="10:16" x14ac:dyDescent="0.25">
      <c r="J1387" s="117"/>
      <c r="K1387" s="117"/>
      <c r="L1387" s="117"/>
      <c r="M1387" s="117"/>
      <c r="N1387" s="23"/>
      <c r="O1387" s="23"/>
      <c r="P1387" s="23"/>
    </row>
    <row r="1388" spans="10:16" x14ac:dyDescent="0.25">
      <c r="J1388" s="117"/>
      <c r="K1388" s="117"/>
      <c r="L1388" s="117"/>
      <c r="M1388" s="117"/>
      <c r="N1388" s="23"/>
      <c r="O1388" s="23"/>
      <c r="P1388" s="23"/>
    </row>
    <row r="1389" spans="10:16" x14ac:dyDescent="0.25">
      <c r="J1389" s="117"/>
      <c r="K1389" s="117"/>
      <c r="L1389" s="117"/>
      <c r="M1389" s="117"/>
      <c r="N1389" s="23"/>
      <c r="O1389" s="23"/>
      <c r="P1389" s="23"/>
    </row>
    <row r="1390" spans="10:16" x14ac:dyDescent="0.25">
      <c r="J1390" s="117"/>
      <c r="K1390" s="117"/>
      <c r="L1390" s="117"/>
      <c r="M1390" s="117"/>
      <c r="N1390" s="23"/>
      <c r="O1390" s="23"/>
      <c r="P1390" s="23"/>
    </row>
    <row r="1391" spans="10:16" x14ac:dyDescent="0.25">
      <c r="J1391" s="117"/>
      <c r="K1391" s="117"/>
      <c r="L1391" s="117"/>
      <c r="M1391" s="117"/>
      <c r="N1391" s="23"/>
      <c r="O1391" s="23"/>
      <c r="P1391" s="23"/>
    </row>
    <row r="1392" spans="10:16" x14ac:dyDescent="0.25">
      <c r="J1392" s="117"/>
      <c r="K1392" s="117"/>
      <c r="L1392" s="117"/>
      <c r="M1392" s="117"/>
      <c r="N1392" s="23"/>
      <c r="O1392" s="23"/>
      <c r="P1392" s="23"/>
    </row>
    <row r="1393" spans="10:16" x14ac:dyDescent="0.25">
      <c r="J1393" s="117"/>
      <c r="K1393" s="117"/>
      <c r="L1393" s="117"/>
      <c r="M1393" s="117"/>
      <c r="N1393" s="23"/>
      <c r="O1393" s="23"/>
      <c r="P1393" s="23"/>
    </row>
    <row r="1394" spans="10:16" x14ac:dyDescent="0.25">
      <c r="J1394" s="117"/>
      <c r="K1394" s="117"/>
      <c r="L1394" s="117"/>
      <c r="M1394" s="117"/>
      <c r="N1394" s="23"/>
      <c r="O1394" s="23"/>
      <c r="P1394" s="23"/>
    </row>
    <row r="1395" spans="10:16" x14ac:dyDescent="0.25">
      <c r="J1395" s="117"/>
      <c r="K1395" s="117"/>
      <c r="L1395" s="117"/>
      <c r="M1395" s="117"/>
      <c r="N1395" s="23"/>
      <c r="O1395" s="23"/>
      <c r="P1395" s="23"/>
    </row>
    <row r="1396" spans="10:16" x14ac:dyDescent="0.25">
      <c r="J1396" s="117"/>
      <c r="K1396" s="117"/>
      <c r="L1396" s="117"/>
      <c r="M1396" s="117"/>
      <c r="N1396" s="23"/>
      <c r="O1396" s="23"/>
      <c r="P1396" s="23"/>
    </row>
    <row r="1397" spans="10:16" x14ac:dyDescent="0.25">
      <c r="J1397" s="117"/>
      <c r="K1397" s="117"/>
      <c r="L1397" s="117"/>
      <c r="M1397" s="117"/>
      <c r="N1397" s="23"/>
      <c r="O1397" s="23"/>
      <c r="P1397" s="23"/>
    </row>
    <row r="1398" spans="10:16" x14ac:dyDescent="0.25">
      <c r="J1398" s="117"/>
      <c r="K1398" s="117"/>
      <c r="L1398" s="117"/>
      <c r="M1398" s="117"/>
      <c r="N1398" s="23"/>
      <c r="O1398" s="23"/>
      <c r="P1398" s="23"/>
    </row>
    <row r="1399" spans="10:16" x14ac:dyDescent="0.25">
      <c r="J1399" s="117"/>
      <c r="K1399" s="117"/>
      <c r="L1399" s="117"/>
      <c r="M1399" s="117"/>
      <c r="N1399" s="23"/>
      <c r="O1399" s="23"/>
      <c r="P1399" s="23"/>
    </row>
    <row r="1400" spans="10:16" x14ac:dyDescent="0.25">
      <c r="J1400" s="117"/>
      <c r="K1400" s="117"/>
      <c r="L1400" s="117"/>
      <c r="M1400" s="117"/>
      <c r="N1400" s="23"/>
      <c r="O1400" s="23"/>
      <c r="P1400" s="23"/>
    </row>
    <row r="1401" spans="10:16" x14ac:dyDescent="0.25">
      <c r="J1401" s="117"/>
      <c r="K1401" s="117"/>
      <c r="L1401" s="117"/>
      <c r="M1401" s="117"/>
      <c r="N1401" s="23"/>
      <c r="O1401" s="23"/>
      <c r="P1401" s="23"/>
    </row>
    <row r="1402" spans="10:16" x14ac:dyDescent="0.25">
      <c r="J1402" s="117"/>
      <c r="K1402" s="117"/>
      <c r="L1402" s="117"/>
      <c r="M1402" s="117"/>
      <c r="N1402" s="23"/>
      <c r="O1402" s="23"/>
      <c r="P1402" s="23"/>
    </row>
    <row r="1403" spans="10:16" x14ac:dyDescent="0.25">
      <c r="J1403" s="117"/>
      <c r="K1403" s="117"/>
      <c r="L1403" s="117"/>
      <c r="M1403" s="117"/>
      <c r="N1403" s="23"/>
      <c r="O1403" s="23"/>
      <c r="P1403" s="23"/>
    </row>
    <row r="1404" spans="10:16" x14ac:dyDescent="0.25">
      <c r="J1404" s="117"/>
      <c r="K1404" s="117"/>
      <c r="L1404" s="117"/>
      <c r="M1404" s="117"/>
      <c r="N1404" s="23"/>
      <c r="O1404" s="23"/>
      <c r="P1404" s="23"/>
    </row>
    <row r="1405" spans="10:16" x14ac:dyDescent="0.25">
      <c r="J1405" s="117"/>
      <c r="K1405" s="117"/>
      <c r="L1405" s="117"/>
      <c r="M1405" s="117"/>
      <c r="N1405" s="23"/>
      <c r="O1405" s="23"/>
      <c r="P1405" s="23"/>
    </row>
    <row r="1406" spans="10:16" x14ac:dyDescent="0.25">
      <c r="J1406" s="117"/>
      <c r="K1406" s="117"/>
      <c r="L1406" s="117"/>
      <c r="M1406" s="117"/>
      <c r="N1406" s="23"/>
      <c r="O1406" s="23"/>
      <c r="P1406" s="23"/>
    </row>
    <row r="1407" spans="10:16" x14ac:dyDescent="0.25">
      <c r="J1407" s="117"/>
      <c r="K1407" s="117"/>
      <c r="L1407" s="117"/>
      <c r="M1407" s="117"/>
      <c r="N1407" s="23"/>
      <c r="O1407" s="23"/>
      <c r="P1407" s="23"/>
    </row>
    <row r="1408" spans="10:16" x14ac:dyDescent="0.25">
      <c r="J1408" s="117"/>
      <c r="K1408" s="117"/>
      <c r="L1408" s="117"/>
      <c r="M1408" s="117"/>
      <c r="N1408" s="23"/>
      <c r="O1408" s="23"/>
      <c r="P1408" s="23"/>
    </row>
    <row r="1409" spans="10:16" x14ac:dyDescent="0.25">
      <c r="J1409" s="117"/>
      <c r="K1409" s="117"/>
      <c r="L1409" s="117"/>
      <c r="M1409" s="117"/>
      <c r="N1409" s="23"/>
      <c r="O1409" s="23"/>
      <c r="P1409" s="23"/>
    </row>
    <row r="1410" spans="10:16" x14ac:dyDescent="0.25">
      <c r="J1410" s="117"/>
      <c r="K1410" s="117"/>
      <c r="L1410" s="117"/>
      <c r="M1410" s="117"/>
      <c r="N1410" s="23"/>
      <c r="O1410" s="23"/>
      <c r="P1410" s="23"/>
    </row>
    <row r="1411" spans="10:16" x14ac:dyDescent="0.25">
      <c r="J1411" s="117"/>
      <c r="K1411" s="117"/>
      <c r="L1411" s="117"/>
      <c r="M1411" s="117"/>
      <c r="N1411" s="23"/>
      <c r="O1411" s="23"/>
      <c r="P1411" s="23"/>
    </row>
    <row r="1412" spans="10:16" x14ac:dyDescent="0.25">
      <c r="J1412" s="117"/>
      <c r="K1412" s="117"/>
      <c r="L1412" s="117"/>
      <c r="M1412" s="117"/>
      <c r="N1412" s="23"/>
      <c r="O1412" s="23"/>
      <c r="P1412" s="23"/>
    </row>
    <row r="1413" spans="10:16" x14ac:dyDescent="0.25">
      <c r="J1413" s="117"/>
      <c r="K1413" s="117"/>
      <c r="L1413" s="117"/>
      <c r="M1413" s="117"/>
      <c r="N1413" s="23"/>
      <c r="O1413" s="23"/>
      <c r="P1413" s="23"/>
    </row>
    <row r="1414" spans="10:16" x14ac:dyDescent="0.25">
      <c r="J1414" s="117"/>
      <c r="K1414" s="117"/>
      <c r="L1414" s="117"/>
      <c r="M1414" s="117"/>
      <c r="N1414" s="23"/>
      <c r="O1414" s="23"/>
      <c r="P1414" s="23"/>
    </row>
    <row r="1415" spans="10:16" x14ac:dyDescent="0.25">
      <c r="J1415" s="117"/>
      <c r="K1415" s="117"/>
      <c r="L1415" s="117"/>
      <c r="M1415" s="117"/>
      <c r="N1415" s="23"/>
      <c r="O1415" s="23"/>
      <c r="P1415" s="23"/>
    </row>
    <row r="1416" spans="10:16" x14ac:dyDescent="0.25">
      <c r="J1416" s="117"/>
      <c r="K1416" s="117"/>
      <c r="L1416" s="117"/>
      <c r="M1416" s="117"/>
      <c r="N1416" s="23"/>
      <c r="O1416" s="23"/>
      <c r="P1416" s="23"/>
    </row>
    <row r="1417" spans="10:16" x14ac:dyDescent="0.25">
      <c r="J1417" s="117"/>
      <c r="K1417" s="117"/>
      <c r="L1417" s="117"/>
      <c r="M1417" s="117"/>
      <c r="N1417" s="23"/>
      <c r="O1417" s="23"/>
      <c r="P1417" s="23"/>
    </row>
    <row r="1418" spans="10:16" x14ac:dyDescent="0.25">
      <c r="J1418" s="117"/>
      <c r="K1418" s="117"/>
      <c r="L1418" s="117"/>
      <c r="M1418" s="117"/>
      <c r="N1418" s="23"/>
      <c r="O1418" s="23"/>
      <c r="P1418" s="23"/>
    </row>
    <row r="1419" spans="10:16" x14ac:dyDescent="0.25">
      <c r="J1419" s="117"/>
      <c r="K1419" s="117"/>
      <c r="L1419" s="117"/>
      <c r="M1419" s="117"/>
      <c r="N1419" s="23"/>
      <c r="O1419" s="23"/>
      <c r="P1419" s="23"/>
    </row>
    <row r="1420" spans="10:16" x14ac:dyDescent="0.25">
      <c r="J1420" s="117"/>
      <c r="K1420" s="117"/>
      <c r="L1420" s="117"/>
      <c r="M1420" s="117"/>
      <c r="N1420" s="23"/>
      <c r="O1420" s="23"/>
      <c r="P1420" s="23"/>
    </row>
    <row r="1421" spans="10:16" x14ac:dyDescent="0.25">
      <c r="J1421" s="117"/>
      <c r="K1421" s="117"/>
      <c r="L1421" s="117"/>
      <c r="M1421" s="117"/>
      <c r="N1421" s="23"/>
      <c r="O1421" s="23"/>
      <c r="P1421" s="23"/>
    </row>
    <row r="1422" spans="10:16" x14ac:dyDescent="0.25">
      <c r="J1422" s="117"/>
      <c r="K1422" s="117"/>
      <c r="L1422" s="117"/>
      <c r="M1422" s="117"/>
      <c r="N1422" s="23"/>
      <c r="O1422" s="23"/>
      <c r="P1422" s="23"/>
    </row>
    <row r="1423" spans="10:16" x14ac:dyDescent="0.25">
      <c r="J1423" s="117"/>
      <c r="K1423" s="117"/>
      <c r="L1423" s="117"/>
      <c r="M1423" s="117"/>
      <c r="N1423" s="23"/>
      <c r="O1423" s="23"/>
      <c r="P1423" s="23"/>
    </row>
    <row r="1424" spans="10:16" x14ac:dyDescent="0.25">
      <c r="J1424" s="117"/>
      <c r="K1424" s="117"/>
      <c r="L1424" s="117"/>
      <c r="M1424" s="117"/>
      <c r="N1424" s="23"/>
      <c r="O1424" s="23"/>
      <c r="P1424" s="23"/>
    </row>
    <row r="1425" spans="10:16" x14ac:dyDescent="0.25">
      <c r="J1425" s="117"/>
      <c r="K1425" s="117"/>
      <c r="L1425" s="117"/>
      <c r="M1425" s="117"/>
      <c r="N1425" s="23"/>
      <c r="O1425" s="23"/>
      <c r="P1425" s="23"/>
    </row>
    <row r="1426" spans="10:16" x14ac:dyDescent="0.25">
      <c r="J1426" s="117"/>
      <c r="K1426" s="117"/>
      <c r="L1426" s="117"/>
      <c r="M1426" s="117"/>
      <c r="N1426" s="23"/>
      <c r="O1426" s="23"/>
      <c r="P1426" s="23"/>
    </row>
    <row r="1427" spans="10:16" x14ac:dyDescent="0.25">
      <c r="J1427" s="117"/>
      <c r="K1427" s="117"/>
      <c r="L1427" s="117"/>
      <c r="M1427" s="117"/>
      <c r="N1427" s="23"/>
      <c r="O1427" s="23"/>
      <c r="P1427" s="23"/>
    </row>
    <row r="1428" spans="10:16" x14ac:dyDescent="0.25">
      <c r="J1428" s="117"/>
      <c r="K1428" s="117"/>
      <c r="L1428" s="117"/>
      <c r="M1428" s="117"/>
      <c r="N1428" s="23"/>
      <c r="O1428" s="23"/>
      <c r="P1428" s="23"/>
    </row>
    <row r="1429" spans="10:16" x14ac:dyDescent="0.25">
      <c r="J1429" s="117"/>
      <c r="K1429" s="117"/>
      <c r="L1429" s="117"/>
      <c r="M1429" s="117"/>
      <c r="N1429" s="23"/>
      <c r="O1429" s="23"/>
      <c r="P1429" s="23"/>
    </row>
    <row r="1430" spans="10:16" x14ac:dyDescent="0.25">
      <c r="J1430" s="117"/>
      <c r="K1430" s="117"/>
      <c r="L1430" s="117"/>
      <c r="M1430" s="117"/>
      <c r="N1430" s="23"/>
      <c r="O1430" s="23"/>
      <c r="P1430" s="23"/>
    </row>
    <row r="1431" spans="10:16" x14ac:dyDescent="0.25">
      <c r="J1431" s="117"/>
      <c r="K1431" s="117"/>
      <c r="L1431" s="117"/>
      <c r="M1431" s="117"/>
      <c r="N1431" s="23"/>
      <c r="O1431" s="23"/>
      <c r="P1431" s="23"/>
    </row>
    <row r="1432" spans="10:16" x14ac:dyDescent="0.25">
      <c r="J1432" s="117"/>
      <c r="K1432" s="117"/>
      <c r="L1432" s="117"/>
      <c r="M1432" s="117"/>
      <c r="N1432" s="23"/>
      <c r="O1432" s="23"/>
      <c r="P1432" s="23"/>
    </row>
    <row r="1433" spans="10:16" x14ac:dyDescent="0.25">
      <c r="J1433" s="117"/>
      <c r="K1433" s="117"/>
      <c r="L1433" s="117"/>
      <c r="M1433" s="117"/>
      <c r="N1433" s="23"/>
      <c r="O1433" s="23"/>
      <c r="P1433" s="23"/>
    </row>
    <row r="1434" spans="10:16" x14ac:dyDescent="0.25">
      <c r="J1434" s="117"/>
      <c r="K1434" s="117"/>
      <c r="L1434" s="117"/>
      <c r="M1434" s="117"/>
      <c r="N1434" s="23"/>
      <c r="O1434" s="23"/>
      <c r="P1434" s="23"/>
    </row>
    <row r="1435" spans="10:16" x14ac:dyDescent="0.25">
      <c r="J1435" s="117"/>
      <c r="K1435" s="117"/>
      <c r="L1435" s="117"/>
      <c r="M1435" s="117"/>
      <c r="N1435" s="23"/>
      <c r="O1435" s="23"/>
      <c r="P1435" s="23"/>
    </row>
    <row r="1436" spans="10:16" x14ac:dyDescent="0.25">
      <c r="J1436" s="117"/>
      <c r="K1436" s="117"/>
      <c r="L1436" s="117"/>
      <c r="M1436" s="117"/>
      <c r="N1436" s="23"/>
      <c r="O1436" s="23"/>
      <c r="P1436" s="23"/>
    </row>
    <row r="1437" spans="10:16" x14ac:dyDescent="0.25">
      <c r="J1437" s="117"/>
      <c r="K1437" s="117"/>
      <c r="L1437" s="117"/>
      <c r="M1437" s="117"/>
      <c r="N1437" s="23"/>
      <c r="O1437" s="23"/>
      <c r="P1437" s="23"/>
    </row>
    <row r="1438" spans="10:16" x14ac:dyDescent="0.25">
      <c r="J1438" s="117"/>
      <c r="K1438" s="117"/>
      <c r="L1438" s="117"/>
      <c r="M1438" s="117"/>
      <c r="N1438" s="23"/>
      <c r="O1438" s="23"/>
      <c r="P1438" s="23"/>
    </row>
    <row r="1439" spans="10:16" x14ac:dyDescent="0.25">
      <c r="J1439" s="117"/>
      <c r="K1439" s="117"/>
      <c r="L1439" s="117"/>
      <c r="M1439" s="117"/>
      <c r="N1439" s="23"/>
      <c r="O1439" s="23"/>
      <c r="P1439" s="23"/>
    </row>
    <row r="1440" spans="10:16" x14ac:dyDescent="0.25">
      <c r="J1440" s="117"/>
      <c r="K1440" s="117"/>
      <c r="L1440" s="117"/>
      <c r="M1440" s="117"/>
      <c r="N1440" s="23"/>
      <c r="O1440" s="23"/>
      <c r="P1440" s="23"/>
    </row>
    <row r="1441" spans="10:16" x14ac:dyDescent="0.25">
      <c r="J1441" s="117"/>
      <c r="K1441" s="117"/>
      <c r="L1441" s="117"/>
      <c r="M1441" s="117"/>
      <c r="N1441" s="23"/>
      <c r="O1441" s="23"/>
      <c r="P1441" s="23"/>
    </row>
    <row r="1442" spans="10:16" x14ac:dyDescent="0.25">
      <c r="J1442" s="117"/>
      <c r="K1442" s="117"/>
      <c r="L1442" s="117"/>
      <c r="M1442" s="117"/>
      <c r="N1442" s="23"/>
      <c r="O1442" s="23"/>
      <c r="P1442" s="23"/>
    </row>
    <row r="1443" spans="10:16" x14ac:dyDescent="0.25">
      <c r="J1443" s="117"/>
      <c r="K1443" s="117"/>
      <c r="L1443" s="117"/>
      <c r="M1443" s="117"/>
      <c r="N1443" s="23"/>
      <c r="O1443" s="23"/>
      <c r="P1443" s="23"/>
    </row>
    <row r="1444" spans="10:16" x14ac:dyDescent="0.25">
      <c r="J1444" s="117"/>
      <c r="K1444" s="117"/>
      <c r="L1444" s="117"/>
      <c r="M1444" s="117"/>
      <c r="N1444" s="23"/>
      <c r="O1444" s="23"/>
      <c r="P1444" s="23"/>
    </row>
    <row r="1445" spans="10:16" x14ac:dyDescent="0.25">
      <c r="J1445" s="117"/>
      <c r="K1445" s="117"/>
      <c r="L1445" s="117"/>
      <c r="M1445" s="117"/>
      <c r="N1445" s="23"/>
      <c r="O1445" s="23"/>
      <c r="P1445" s="23"/>
    </row>
    <row r="1446" spans="10:16" x14ac:dyDescent="0.25">
      <c r="J1446" s="117"/>
      <c r="K1446" s="117"/>
      <c r="L1446" s="117"/>
      <c r="M1446" s="117"/>
      <c r="N1446" s="23"/>
      <c r="O1446" s="23"/>
      <c r="P1446" s="23"/>
    </row>
    <row r="1447" spans="10:16" x14ac:dyDescent="0.25">
      <c r="J1447" s="117"/>
      <c r="K1447" s="117"/>
      <c r="L1447" s="117"/>
      <c r="M1447" s="117"/>
      <c r="N1447" s="23"/>
      <c r="O1447" s="23"/>
      <c r="P1447" s="23"/>
    </row>
    <row r="1448" spans="10:16" x14ac:dyDescent="0.25">
      <c r="J1448" s="117"/>
      <c r="K1448" s="117"/>
      <c r="L1448" s="117"/>
      <c r="M1448" s="117"/>
      <c r="N1448" s="23"/>
      <c r="O1448" s="23"/>
      <c r="P1448" s="23"/>
    </row>
    <row r="1449" spans="10:16" x14ac:dyDescent="0.25">
      <c r="J1449" s="117"/>
      <c r="K1449" s="117"/>
      <c r="L1449" s="117"/>
      <c r="M1449" s="117"/>
      <c r="N1449" s="23"/>
      <c r="O1449" s="23"/>
      <c r="P1449" s="23"/>
    </row>
    <row r="1450" spans="10:16" x14ac:dyDescent="0.25">
      <c r="J1450" s="117"/>
      <c r="K1450" s="117"/>
      <c r="L1450" s="117"/>
      <c r="M1450" s="117"/>
      <c r="N1450" s="23"/>
      <c r="O1450" s="23"/>
      <c r="P1450" s="23"/>
    </row>
    <row r="1451" spans="10:16" x14ac:dyDescent="0.25">
      <c r="J1451" s="117"/>
      <c r="K1451" s="117"/>
      <c r="L1451" s="117"/>
      <c r="M1451" s="117"/>
      <c r="N1451" s="23"/>
      <c r="O1451" s="23"/>
      <c r="P1451" s="23"/>
    </row>
    <row r="1452" spans="10:16" x14ac:dyDescent="0.25">
      <c r="J1452" s="117"/>
      <c r="K1452" s="117"/>
      <c r="L1452" s="117"/>
      <c r="M1452" s="117"/>
      <c r="N1452" s="23"/>
      <c r="O1452" s="23"/>
      <c r="P1452" s="23"/>
    </row>
    <row r="1453" spans="10:16" x14ac:dyDescent="0.25">
      <c r="J1453" s="117"/>
      <c r="K1453" s="117"/>
      <c r="L1453" s="117"/>
      <c r="M1453" s="117"/>
      <c r="N1453" s="23"/>
      <c r="O1453" s="23"/>
      <c r="P1453" s="23"/>
    </row>
    <row r="1454" spans="10:16" x14ac:dyDescent="0.25">
      <c r="J1454" s="117"/>
      <c r="K1454" s="117"/>
      <c r="L1454" s="117"/>
      <c r="M1454" s="117"/>
      <c r="N1454" s="23"/>
      <c r="O1454" s="23"/>
      <c r="P1454" s="23"/>
    </row>
    <row r="1455" spans="10:16" x14ac:dyDescent="0.25">
      <c r="J1455" s="117"/>
      <c r="K1455" s="117"/>
      <c r="L1455" s="117"/>
      <c r="M1455" s="117"/>
      <c r="N1455" s="23"/>
      <c r="O1455" s="23"/>
      <c r="P1455" s="23"/>
    </row>
    <row r="1456" spans="10:16" x14ac:dyDescent="0.25">
      <c r="J1456" s="117"/>
      <c r="K1456" s="117"/>
      <c r="L1456" s="117"/>
      <c r="M1456" s="117"/>
      <c r="N1456" s="23"/>
      <c r="O1456" s="23"/>
      <c r="P1456" s="23"/>
    </row>
    <row r="1457" spans="10:16" x14ac:dyDescent="0.25">
      <c r="J1457" s="117"/>
      <c r="K1457" s="117"/>
      <c r="L1457" s="117"/>
      <c r="M1457" s="117"/>
      <c r="N1457" s="23"/>
      <c r="O1457" s="23"/>
      <c r="P1457" s="23"/>
    </row>
    <row r="1458" spans="10:16" x14ac:dyDescent="0.25">
      <c r="J1458" s="117"/>
      <c r="K1458" s="117"/>
      <c r="L1458" s="117"/>
      <c r="M1458" s="117"/>
      <c r="N1458" s="23"/>
      <c r="O1458" s="23"/>
      <c r="P1458" s="23"/>
    </row>
    <row r="1459" spans="10:16" x14ac:dyDescent="0.25">
      <c r="J1459" s="117"/>
      <c r="K1459" s="117"/>
      <c r="L1459" s="117"/>
      <c r="M1459" s="117"/>
      <c r="N1459" s="23"/>
      <c r="O1459" s="23"/>
      <c r="P1459" s="23"/>
    </row>
    <row r="1460" spans="10:16" x14ac:dyDescent="0.25">
      <c r="J1460" s="117"/>
      <c r="K1460" s="117"/>
      <c r="L1460" s="117"/>
      <c r="M1460" s="117"/>
      <c r="N1460" s="23"/>
      <c r="O1460" s="23"/>
      <c r="P1460" s="23"/>
    </row>
    <row r="1461" spans="10:16" x14ac:dyDescent="0.25">
      <c r="J1461" s="117"/>
      <c r="K1461" s="117"/>
      <c r="L1461" s="117"/>
      <c r="M1461" s="117"/>
      <c r="N1461" s="23"/>
      <c r="O1461" s="23"/>
      <c r="P1461" s="23"/>
    </row>
    <row r="1462" spans="10:16" x14ac:dyDescent="0.25">
      <c r="J1462" s="117"/>
      <c r="K1462" s="117"/>
      <c r="L1462" s="117"/>
      <c r="M1462" s="117"/>
      <c r="N1462" s="23"/>
      <c r="O1462" s="23"/>
      <c r="P1462" s="23"/>
    </row>
    <row r="1463" spans="10:16" x14ac:dyDescent="0.25">
      <c r="J1463" s="117"/>
      <c r="K1463" s="117"/>
      <c r="L1463" s="117"/>
      <c r="M1463" s="117"/>
      <c r="N1463" s="23"/>
      <c r="O1463" s="23"/>
      <c r="P1463" s="23"/>
    </row>
    <row r="1464" spans="10:16" x14ac:dyDescent="0.25">
      <c r="J1464" s="117"/>
      <c r="K1464" s="117"/>
      <c r="L1464" s="117"/>
      <c r="M1464" s="117"/>
      <c r="N1464" s="23"/>
      <c r="O1464" s="23"/>
      <c r="P1464" s="23"/>
    </row>
    <row r="1465" spans="10:16" x14ac:dyDescent="0.25">
      <c r="J1465" s="117"/>
      <c r="K1465" s="117"/>
      <c r="L1465" s="117"/>
      <c r="M1465" s="117"/>
      <c r="N1465" s="23"/>
      <c r="O1465" s="23"/>
      <c r="P1465" s="23"/>
    </row>
    <row r="1466" spans="10:16" x14ac:dyDescent="0.25">
      <c r="J1466" s="117"/>
      <c r="K1466" s="117"/>
      <c r="L1466" s="117"/>
      <c r="M1466" s="117"/>
      <c r="N1466" s="23"/>
      <c r="O1466" s="23"/>
      <c r="P1466" s="23"/>
    </row>
    <row r="1467" spans="10:16" x14ac:dyDescent="0.25">
      <c r="J1467" s="117"/>
      <c r="K1467" s="117"/>
      <c r="L1467" s="117"/>
      <c r="M1467" s="117"/>
      <c r="N1467" s="23"/>
      <c r="O1467" s="23"/>
      <c r="P1467" s="23"/>
    </row>
    <row r="1468" spans="10:16" x14ac:dyDescent="0.25">
      <c r="J1468" s="117"/>
      <c r="K1468" s="117"/>
      <c r="L1468" s="117"/>
      <c r="M1468" s="117"/>
      <c r="N1468" s="23"/>
      <c r="O1468" s="23"/>
      <c r="P1468" s="23"/>
    </row>
    <row r="1469" spans="10:16" x14ac:dyDescent="0.25">
      <c r="J1469" s="117"/>
      <c r="K1469" s="117"/>
      <c r="L1469" s="117"/>
      <c r="M1469" s="117"/>
      <c r="N1469" s="23"/>
      <c r="O1469" s="23"/>
      <c r="P1469" s="23"/>
    </row>
    <row r="1470" spans="10:16" x14ac:dyDescent="0.25">
      <c r="J1470" s="117"/>
      <c r="K1470" s="117"/>
      <c r="L1470" s="117"/>
      <c r="M1470" s="117"/>
      <c r="N1470" s="23"/>
      <c r="O1470" s="23"/>
      <c r="P1470" s="23"/>
    </row>
    <row r="1471" spans="10:16" x14ac:dyDescent="0.25">
      <c r="J1471" s="117"/>
      <c r="K1471" s="117"/>
      <c r="L1471" s="117"/>
      <c r="M1471" s="117"/>
      <c r="N1471" s="23"/>
      <c r="O1471" s="23"/>
      <c r="P1471" s="23"/>
    </row>
    <row r="1472" spans="10:16" x14ac:dyDescent="0.25">
      <c r="J1472" s="117"/>
      <c r="K1472" s="117"/>
      <c r="L1472" s="117"/>
      <c r="M1472" s="117"/>
      <c r="N1472" s="23"/>
      <c r="O1472" s="23"/>
      <c r="P1472" s="23"/>
    </row>
    <row r="1473" spans="10:16" x14ac:dyDescent="0.25">
      <c r="J1473" s="117"/>
      <c r="K1473" s="117"/>
      <c r="L1473" s="117"/>
      <c r="M1473" s="117"/>
      <c r="N1473" s="23"/>
      <c r="O1473" s="23"/>
      <c r="P1473" s="23"/>
    </row>
    <row r="1474" spans="10:16" x14ac:dyDescent="0.25">
      <c r="J1474" s="117"/>
      <c r="K1474" s="117"/>
      <c r="L1474" s="117"/>
      <c r="M1474" s="117"/>
      <c r="N1474" s="23"/>
      <c r="O1474" s="23"/>
      <c r="P1474" s="23"/>
    </row>
    <row r="1475" spans="10:16" x14ac:dyDescent="0.25">
      <c r="J1475" s="117"/>
      <c r="K1475" s="117"/>
      <c r="L1475" s="117"/>
      <c r="M1475" s="117"/>
      <c r="N1475" s="23"/>
      <c r="O1475" s="23"/>
      <c r="P1475" s="23"/>
    </row>
    <row r="1476" spans="10:16" x14ac:dyDescent="0.25">
      <c r="J1476" s="117"/>
      <c r="K1476" s="117"/>
      <c r="L1476" s="117"/>
      <c r="M1476" s="117"/>
      <c r="N1476" s="23"/>
      <c r="O1476" s="23"/>
      <c r="P1476" s="23"/>
    </row>
    <row r="1477" spans="10:16" x14ac:dyDescent="0.25">
      <c r="J1477" s="117"/>
      <c r="K1477" s="117"/>
      <c r="L1477" s="117"/>
      <c r="M1477" s="117"/>
      <c r="N1477" s="23"/>
      <c r="O1477" s="23"/>
      <c r="P1477" s="23"/>
    </row>
    <row r="1478" spans="10:16" x14ac:dyDescent="0.25">
      <c r="J1478" s="117"/>
      <c r="K1478" s="117"/>
      <c r="L1478" s="117"/>
      <c r="M1478" s="117"/>
      <c r="N1478" s="23"/>
      <c r="O1478" s="23"/>
      <c r="P1478" s="23"/>
    </row>
    <row r="1479" spans="10:16" x14ac:dyDescent="0.25">
      <c r="J1479" s="117"/>
      <c r="K1479" s="117"/>
      <c r="L1479" s="117"/>
      <c r="M1479" s="117"/>
      <c r="N1479" s="23"/>
      <c r="O1479" s="23"/>
      <c r="P1479" s="23"/>
    </row>
    <row r="1480" spans="10:16" x14ac:dyDescent="0.25">
      <c r="J1480" s="117"/>
      <c r="K1480" s="117"/>
      <c r="L1480" s="117"/>
      <c r="M1480" s="117"/>
      <c r="N1480" s="23"/>
      <c r="O1480" s="23"/>
      <c r="P1480" s="23"/>
    </row>
    <row r="1481" spans="10:16" x14ac:dyDescent="0.25">
      <c r="J1481" s="117"/>
      <c r="K1481" s="117"/>
      <c r="L1481" s="117"/>
      <c r="M1481" s="117"/>
      <c r="N1481" s="23"/>
      <c r="O1481" s="23"/>
      <c r="P1481" s="23"/>
    </row>
    <row r="1482" spans="10:16" x14ac:dyDescent="0.25">
      <c r="J1482" s="117"/>
      <c r="K1482" s="117"/>
      <c r="L1482" s="117"/>
      <c r="M1482" s="117"/>
      <c r="N1482" s="23"/>
      <c r="O1482" s="23"/>
      <c r="P1482" s="23"/>
    </row>
    <row r="1483" spans="10:16" x14ac:dyDescent="0.25">
      <c r="J1483" s="117"/>
      <c r="K1483" s="117"/>
      <c r="L1483" s="117"/>
      <c r="M1483" s="117"/>
      <c r="N1483" s="23"/>
      <c r="O1483" s="23"/>
      <c r="P1483" s="23"/>
    </row>
    <row r="1484" spans="10:16" x14ac:dyDescent="0.25">
      <c r="J1484" s="117"/>
      <c r="K1484" s="117"/>
      <c r="L1484" s="117"/>
      <c r="M1484" s="117"/>
      <c r="N1484" s="23"/>
      <c r="O1484" s="23"/>
      <c r="P1484" s="23"/>
    </row>
    <row r="1485" spans="10:16" x14ac:dyDescent="0.25">
      <c r="J1485" s="117"/>
      <c r="K1485" s="117"/>
      <c r="L1485" s="117"/>
      <c r="M1485" s="117"/>
      <c r="N1485" s="23"/>
      <c r="O1485" s="23"/>
      <c r="P1485" s="23"/>
    </row>
    <row r="1486" spans="10:16" x14ac:dyDescent="0.25">
      <c r="J1486" s="117"/>
      <c r="K1486" s="117"/>
      <c r="L1486" s="117"/>
      <c r="M1486" s="117"/>
      <c r="N1486" s="23"/>
      <c r="O1486" s="23"/>
      <c r="P1486" s="23"/>
    </row>
    <row r="1487" spans="10:16" x14ac:dyDescent="0.25">
      <c r="J1487" s="117"/>
      <c r="K1487" s="117"/>
      <c r="L1487" s="117"/>
      <c r="M1487" s="117"/>
      <c r="N1487" s="23"/>
      <c r="O1487" s="23"/>
      <c r="P1487" s="23"/>
    </row>
    <row r="1488" spans="10:16" x14ac:dyDescent="0.25">
      <c r="J1488" s="117"/>
      <c r="K1488" s="117"/>
      <c r="L1488" s="117"/>
      <c r="M1488" s="117"/>
      <c r="N1488" s="23"/>
      <c r="O1488" s="23"/>
      <c r="P1488" s="23"/>
    </row>
    <row r="1489" spans="10:16" x14ac:dyDescent="0.25">
      <c r="J1489" s="117"/>
      <c r="K1489" s="117"/>
      <c r="L1489" s="117"/>
      <c r="M1489" s="117"/>
      <c r="N1489" s="23"/>
      <c r="O1489" s="23"/>
      <c r="P1489" s="23"/>
    </row>
    <row r="1490" spans="10:16" x14ac:dyDescent="0.25">
      <c r="J1490" s="117"/>
      <c r="K1490" s="117"/>
      <c r="L1490" s="117"/>
      <c r="M1490" s="117"/>
      <c r="N1490" s="23"/>
      <c r="O1490" s="23"/>
      <c r="P1490" s="23"/>
    </row>
    <row r="1491" spans="10:16" x14ac:dyDescent="0.25">
      <c r="J1491" s="117"/>
      <c r="K1491" s="117"/>
      <c r="L1491" s="117"/>
      <c r="M1491" s="117"/>
      <c r="N1491" s="23"/>
      <c r="O1491" s="23"/>
      <c r="P1491" s="23"/>
    </row>
    <row r="1492" spans="10:16" x14ac:dyDescent="0.25">
      <c r="J1492" s="117"/>
      <c r="K1492" s="117"/>
      <c r="L1492" s="117"/>
      <c r="M1492" s="117"/>
      <c r="N1492" s="23"/>
      <c r="O1492" s="23"/>
      <c r="P1492" s="23"/>
    </row>
    <row r="1493" spans="10:16" x14ac:dyDescent="0.25">
      <c r="J1493" s="117"/>
      <c r="K1493" s="117"/>
      <c r="L1493" s="117"/>
      <c r="M1493" s="117"/>
      <c r="N1493" s="23"/>
      <c r="O1493" s="23"/>
      <c r="P1493" s="23"/>
    </row>
    <row r="1494" spans="10:16" x14ac:dyDescent="0.25">
      <c r="J1494" s="117"/>
      <c r="K1494" s="117"/>
      <c r="L1494" s="117"/>
      <c r="M1494" s="117"/>
      <c r="N1494" s="23"/>
      <c r="O1494" s="23"/>
      <c r="P1494" s="23"/>
    </row>
    <row r="1495" spans="10:16" x14ac:dyDescent="0.25">
      <c r="J1495" s="117"/>
      <c r="K1495" s="117"/>
      <c r="L1495" s="117"/>
      <c r="M1495" s="117"/>
      <c r="N1495" s="23"/>
      <c r="O1495" s="23"/>
      <c r="P1495" s="23"/>
    </row>
    <row r="1496" spans="10:16" x14ac:dyDescent="0.25">
      <c r="J1496" s="117"/>
      <c r="K1496" s="117"/>
      <c r="L1496" s="117"/>
      <c r="M1496" s="117"/>
      <c r="N1496" s="23"/>
      <c r="O1496" s="23"/>
      <c r="P1496" s="23"/>
    </row>
    <row r="1497" spans="10:16" x14ac:dyDescent="0.25">
      <c r="J1497" s="117"/>
      <c r="K1497" s="117"/>
      <c r="L1497" s="117"/>
      <c r="M1497" s="117"/>
      <c r="N1497" s="23"/>
      <c r="O1497" s="23"/>
      <c r="P1497" s="23"/>
    </row>
    <row r="1498" spans="10:16" x14ac:dyDescent="0.25">
      <c r="J1498" s="117"/>
      <c r="K1498" s="117"/>
      <c r="L1498" s="117"/>
      <c r="M1498" s="117"/>
      <c r="N1498" s="23"/>
      <c r="O1498" s="23"/>
      <c r="P1498" s="23"/>
    </row>
    <row r="1499" spans="10:16" x14ac:dyDescent="0.25">
      <c r="J1499" s="117"/>
      <c r="K1499" s="117"/>
      <c r="L1499" s="117"/>
      <c r="M1499" s="117"/>
      <c r="N1499" s="23"/>
      <c r="O1499" s="23"/>
      <c r="P1499" s="23"/>
    </row>
    <row r="1500" spans="10:16" x14ac:dyDescent="0.25">
      <c r="J1500" s="117"/>
      <c r="K1500" s="117"/>
      <c r="L1500" s="117"/>
      <c r="M1500" s="117"/>
      <c r="N1500" s="23"/>
      <c r="O1500" s="23"/>
      <c r="P1500" s="23"/>
    </row>
    <row r="1501" spans="10:16" x14ac:dyDescent="0.25">
      <c r="J1501" s="117"/>
      <c r="K1501" s="117"/>
      <c r="L1501" s="117"/>
      <c r="M1501" s="117"/>
      <c r="N1501" s="23"/>
      <c r="O1501" s="23"/>
      <c r="P1501" s="23"/>
    </row>
    <row r="1502" spans="10:16" x14ac:dyDescent="0.25">
      <c r="J1502" s="117"/>
      <c r="K1502" s="117"/>
      <c r="L1502" s="117"/>
      <c r="M1502" s="117"/>
      <c r="N1502" s="23"/>
      <c r="O1502" s="23"/>
      <c r="P1502" s="23"/>
    </row>
    <row r="1503" spans="10:16" x14ac:dyDescent="0.25">
      <c r="J1503" s="117"/>
      <c r="K1503" s="117"/>
      <c r="L1503" s="117"/>
      <c r="M1503" s="117"/>
      <c r="N1503" s="23"/>
      <c r="O1503" s="23"/>
      <c r="P1503" s="23"/>
    </row>
    <row r="1504" spans="10:16" x14ac:dyDescent="0.25">
      <c r="J1504" s="117"/>
      <c r="K1504" s="117"/>
      <c r="L1504" s="117"/>
      <c r="M1504" s="117"/>
      <c r="N1504" s="23"/>
      <c r="O1504" s="23"/>
      <c r="P1504" s="23"/>
    </row>
    <row r="1505" spans="10:16" x14ac:dyDescent="0.25">
      <c r="J1505" s="117"/>
      <c r="K1505" s="117"/>
      <c r="L1505" s="117"/>
      <c r="M1505" s="117"/>
      <c r="N1505" s="23"/>
      <c r="O1505" s="23"/>
      <c r="P1505" s="23"/>
    </row>
    <row r="1506" spans="10:16" x14ac:dyDescent="0.25">
      <c r="J1506" s="117"/>
      <c r="K1506" s="117"/>
      <c r="L1506" s="117"/>
      <c r="M1506" s="117"/>
      <c r="N1506" s="23"/>
      <c r="O1506" s="23"/>
      <c r="P1506" s="23"/>
    </row>
    <row r="1507" spans="10:16" x14ac:dyDescent="0.25">
      <c r="J1507" s="117"/>
      <c r="K1507" s="117"/>
      <c r="L1507" s="117"/>
      <c r="M1507" s="117"/>
      <c r="N1507" s="23"/>
      <c r="O1507" s="23"/>
      <c r="P1507" s="23"/>
    </row>
    <row r="1508" spans="10:16" x14ac:dyDescent="0.25">
      <c r="J1508" s="117"/>
      <c r="K1508" s="117"/>
      <c r="L1508" s="117"/>
      <c r="M1508" s="117"/>
      <c r="N1508" s="23"/>
      <c r="O1508" s="23"/>
      <c r="P1508" s="23"/>
    </row>
    <row r="1509" spans="10:16" x14ac:dyDescent="0.25">
      <c r="J1509" s="117"/>
      <c r="K1509" s="117"/>
      <c r="L1509" s="117"/>
      <c r="M1509" s="117"/>
      <c r="N1509" s="23"/>
      <c r="O1509" s="23"/>
      <c r="P1509" s="23"/>
    </row>
    <row r="1510" spans="10:16" x14ac:dyDescent="0.25">
      <c r="J1510" s="117"/>
      <c r="K1510" s="117"/>
      <c r="L1510" s="117"/>
      <c r="M1510" s="117"/>
      <c r="N1510" s="23"/>
      <c r="O1510" s="23"/>
      <c r="P1510" s="23"/>
    </row>
    <row r="1511" spans="10:16" x14ac:dyDescent="0.25">
      <c r="J1511" s="117"/>
      <c r="K1511" s="117"/>
      <c r="L1511" s="117"/>
      <c r="M1511" s="117"/>
      <c r="N1511" s="23"/>
      <c r="O1511" s="23"/>
      <c r="P1511" s="23"/>
    </row>
    <row r="1512" spans="10:16" x14ac:dyDescent="0.25">
      <c r="J1512" s="117"/>
      <c r="K1512" s="117"/>
      <c r="L1512" s="117"/>
      <c r="M1512" s="117"/>
      <c r="N1512" s="23"/>
      <c r="O1512" s="23"/>
      <c r="P1512" s="23"/>
    </row>
    <row r="1513" spans="10:16" x14ac:dyDescent="0.25">
      <c r="J1513" s="117"/>
      <c r="K1513" s="117"/>
      <c r="L1513" s="117"/>
      <c r="M1513" s="117"/>
      <c r="N1513" s="23"/>
      <c r="O1513" s="23"/>
      <c r="P1513" s="23"/>
    </row>
    <row r="1514" spans="10:16" x14ac:dyDescent="0.25">
      <c r="J1514" s="117"/>
      <c r="K1514" s="117"/>
      <c r="L1514" s="117"/>
      <c r="M1514" s="117"/>
      <c r="N1514" s="23"/>
      <c r="O1514" s="23"/>
      <c r="P1514" s="23"/>
    </row>
    <row r="1515" spans="10:16" x14ac:dyDescent="0.25">
      <c r="J1515" s="117"/>
      <c r="K1515" s="117"/>
      <c r="L1515" s="117"/>
      <c r="M1515" s="117"/>
      <c r="N1515" s="23"/>
      <c r="O1515" s="23"/>
      <c r="P1515" s="23"/>
    </row>
    <row r="1516" spans="10:16" x14ac:dyDescent="0.25">
      <c r="J1516" s="117"/>
      <c r="K1516" s="117"/>
      <c r="L1516" s="117"/>
      <c r="M1516" s="117"/>
      <c r="N1516" s="23"/>
      <c r="O1516" s="23"/>
      <c r="P1516" s="23"/>
    </row>
    <row r="1517" spans="10:16" x14ac:dyDescent="0.25">
      <c r="J1517" s="117"/>
      <c r="K1517" s="117"/>
      <c r="L1517" s="117"/>
      <c r="M1517" s="117"/>
      <c r="N1517" s="23"/>
      <c r="O1517" s="23"/>
      <c r="P1517" s="23"/>
    </row>
    <row r="1518" spans="10:16" x14ac:dyDescent="0.25">
      <c r="J1518" s="117"/>
      <c r="K1518" s="117"/>
      <c r="L1518" s="117"/>
      <c r="M1518" s="117"/>
      <c r="N1518" s="23"/>
      <c r="O1518" s="23"/>
      <c r="P1518" s="23"/>
    </row>
    <row r="1519" spans="10:16" x14ac:dyDescent="0.25">
      <c r="J1519" s="117"/>
      <c r="K1519" s="117"/>
      <c r="L1519" s="117"/>
      <c r="M1519" s="117"/>
      <c r="N1519" s="23"/>
      <c r="O1519" s="23"/>
      <c r="P1519" s="23"/>
    </row>
    <row r="1520" spans="10:16" x14ac:dyDescent="0.25">
      <c r="J1520" s="117"/>
      <c r="K1520" s="117"/>
      <c r="L1520" s="117"/>
      <c r="M1520" s="117"/>
      <c r="N1520" s="23"/>
      <c r="O1520" s="23"/>
      <c r="P1520" s="23"/>
    </row>
    <row r="1521" spans="10:16" x14ac:dyDescent="0.25">
      <c r="J1521" s="117"/>
      <c r="K1521" s="117"/>
      <c r="L1521" s="117"/>
      <c r="M1521" s="117"/>
      <c r="N1521" s="23"/>
      <c r="O1521" s="23"/>
      <c r="P1521" s="23"/>
    </row>
    <row r="1522" spans="10:16" x14ac:dyDescent="0.25">
      <c r="J1522" s="117"/>
      <c r="K1522" s="117"/>
      <c r="L1522" s="117"/>
      <c r="M1522" s="117"/>
      <c r="N1522" s="23"/>
      <c r="O1522" s="23"/>
      <c r="P1522" s="23"/>
    </row>
    <row r="1523" spans="10:16" x14ac:dyDescent="0.25">
      <c r="J1523" s="117"/>
      <c r="K1523" s="117"/>
      <c r="L1523" s="117"/>
      <c r="M1523" s="117"/>
      <c r="N1523" s="23"/>
      <c r="O1523" s="23"/>
      <c r="P1523" s="23"/>
    </row>
    <row r="1524" spans="10:16" x14ac:dyDescent="0.25">
      <c r="J1524" s="117"/>
      <c r="K1524" s="117"/>
      <c r="L1524" s="117"/>
      <c r="M1524" s="117"/>
      <c r="N1524" s="23"/>
      <c r="O1524" s="23"/>
      <c r="P1524" s="23"/>
    </row>
    <row r="1525" spans="10:16" x14ac:dyDescent="0.25">
      <c r="J1525" s="117"/>
      <c r="K1525" s="117"/>
      <c r="L1525" s="117"/>
      <c r="M1525" s="117"/>
      <c r="N1525" s="23"/>
      <c r="O1525" s="23"/>
      <c r="P1525" s="23"/>
    </row>
    <row r="1526" spans="10:16" x14ac:dyDescent="0.25">
      <c r="J1526" s="117"/>
      <c r="K1526" s="117"/>
      <c r="L1526" s="117"/>
      <c r="M1526" s="117"/>
      <c r="N1526" s="23"/>
      <c r="O1526" s="23"/>
      <c r="P1526" s="23"/>
    </row>
    <row r="1527" spans="10:16" x14ac:dyDescent="0.25">
      <c r="J1527" s="117"/>
      <c r="K1527" s="117"/>
      <c r="L1527" s="117"/>
      <c r="M1527" s="117"/>
      <c r="N1527" s="23"/>
      <c r="O1527" s="23"/>
      <c r="P1527" s="23"/>
    </row>
    <row r="1528" spans="10:16" x14ac:dyDescent="0.25">
      <c r="J1528" s="117"/>
      <c r="K1528" s="117"/>
      <c r="L1528" s="117"/>
      <c r="M1528" s="117"/>
      <c r="N1528" s="23"/>
      <c r="O1528" s="23"/>
      <c r="P1528" s="23"/>
    </row>
    <row r="1529" spans="10:16" x14ac:dyDescent="0.25">
      <c r="J1529" s="117"/>
      <c r="K1529" s="117"/>
      <c r="L1529" s="117"/>
      <c r="M1529" s="117"/>
      <c r="N1529" s="23"/>
      <c r="O1529" s="23"/>
      <c r="P1529" s="23"/>
    </row>
    <row r="1530" spans="10:16" x14ac:dyDescent="0.25">
      <c r="J1530" s="117"/>
      <c r="K1530" s="117"/>
      <c r="L1530" s="117"/>
      <c r="M1530" s="117"/>
      <c r="N1530" s="23"/>
      <c r="O1530" s="23"/>
      <c r="P1530" s="23"/>
    </row>
    <row r="1531" spans="10:16" x14ac:dyDescent="0.25">
      <c r="J1531" s="117"/>
      <c r="K1531" s="117"/>
      <c r="L1531" s="117"/>
      <c r="M1531" s="117"/>
      <c r="N1531" s="23"/>
      <c r="O1531" s="23"/>
      <c r="P1531" s="23"/>
    </row>
    <row r="1532" spans="10:16" x14ac:dyDescent="0.25">
      <c r="J1532" s="117"/>
      <c r="K1532" s="117"/>
      <c r="L1532" s="117"/>
      <c r="M1532" s="117"/>
      <c r="N1532" s="23"/>
      <c r="O1532" s="23"/>
      <c r="P1532" s="23"/>
    </row>
    <row r="1533" spans="10:16" x14ac:dyDescent="0.25">
      <c r="J1533" s="117"/>
      <c r="K1533" s="117"/>
      <c r="L1533" s="117"/>
      <c r="M1533" s="117"/>
      <c r="N1533" s="23"/>
      <c r="O1533" s="23"/>
      <c r="P1533" s="23"/>
    </row>
    <row r="1534" spans="10:16" x14ac:dyDescent="0.25">
      <c r="J1534" s="117"/>
      <c r="K1534" s="117"/>
      <c r="L1534" s="117"/>
      <c r="M1534" s="117"/>
      <c r="N1534" s="23"/>
      <c r="O1534" s="23"/>
      <c r="P1534" s="23"/>
    </row>
    <row r="1535" spans="10:16" x14ac:dyDescent="0.25">
      <c r="J1535" s="117"/>
      <c r="K1535" s="117"/>
      <c r="L1535" s="117"/>
      <c r="M1535" s="117"/>
      <c r="N1535" s="23"/>
      <c r="O1535" s="23"/>
      <c r="P1535" s="23"/>
    </row>
    <row r="1536" spans="10:16" x14ac:dyDescent="0.25">
      <c r="J1536" s="117"/>
      <c r="K1536" s="117"/>
      <c r="L1536" s="117"/>
      <c r="M1536" s="117"/>
    </row>
    <row r="1537" spans="10:13" x14ac:dyDescent="0.25">
      <c r="J1537" s="117"/>
      <c r="K1537" s="117"/>
      <c r="L1537" s="117"/>
      <c r="M1537" s="117"/>
    </row>
    <row r="1538" spans="10:13" x14ac:dyDescent="0.25">
      <c r="J1538" s="117"/>
      <c r="K1538" s="117"/>
      <c r="L1538" s="117"/>
      <c r="M1538" s="117"/>
    </row>
    <row r="1539" spans="10:13" x14ac:dyDescent="0.25">
      <c r="J1539" s="117"/>
      <c r="K1539" s="117"/>
      <c r="L1539" s="117"/>
      <c r="M1539" s="117"/>
    </row>
    <row r="1540" spans="10:13" x14ac:dyDescent="0.25">
      <c r="J1540" s="117"/>
      <c r="K1540" s="117"/>
      <c r="L1540" s="117"/>
      <c r="M1540" s="117"/>
    </row>
    <row r="1541" spans="10:13" x14ac:dyDescent="0.25">
      <c r="J1541" s="117"/>
      <c r="K1541" s="117"/>
      <c r="L1541" s="117"/>
      <c r="M1541" s="117"/>
    </row>
    <row r="1542" spans="10:13" x14ac:dyDescent="0.25">
      <c r="J1542" s="117"/>
      <c r="K1542" s="117"/>
      <c r="L1542" s="117"/>
      <c r="M1542" s="117"/>
    </row>
    <row r="1543" spans="10:13" x14ac:dyDescent="0.25">
      <c r="J1543" s="117"/>
      <c r="K1543" s="117"/>
      <c r="L1543" s="117"/>
      <c r="M1543" s="117"/>
    </row>
    <row r="1544" spans="10:13" x14ac:dyDescent="0.25">
      <c r="J1544" s="117"/>
      <c r="K1544" s="117"/>
      <c r="L1544" s="117"/>
      <c r="M1544" s="117"/>
    </row>
    <row r="1545" spans="10:13" x14ac:dyDescent="0.25">
      <c r="J1545" s="117"/>
      <c r="K1545" s="117"/>
      <c r="L1545" s="117"/>
      <c r="M1545" s="117"/>
    </row>
    <row r="1546" spans="10:13" x14ac:dyDescent="0.25">
      <c r="J1546" s="117"/>
      <c r="K1546" s="117"/>
      <c r="L1546" s="117"/>
      <c r="M1546" s="117"/>
    </row>
    <row r="1547" spans="10:13" x14ac:dyDescent="0.25">
      <c r="J1547" s="117"/>
      <c r="K1547" s="117"/>
      <c r="L1547" s="117"/>
      <c r="M1547" s="117"/>
    </row>
    <row r="1548" spans="10:13" x14ac:dyDescent="0.25">
      <c r="J1548" s="117"/>
      <c r="K1548" s="117"/>
      <c r="L1548" s="117"/>
      <c r="M1548" s="117"/>
    </row>
    <row r="1549" spans="10:13" x14ac:dyDescent="0.25">
      <c r="J1549" s="117"/>
      <c r="K1549" s="117"/>
      <c r="L1549" s="117"/>
      <c r="M1549" s="117"/>
    </row>
    <row r="1550" spans="10:13" x14ac:dyDescent="0.25">
      <c r="J1550" s="117"/>
      <c r="K1550" s="117"/>
      <c r="L1550" s="117"/>
      <c r="M1550" s="117"/>
    </row>
    <row r="1551" spans="10:13" x14ac:dyDescent="0.25">
      <c r="J1551" s="117"/>
      <c r="K1551" s="117"/>
      <c r="L1551" s="117"/>
      <c r="M1551" s="117"/>
    </row>
    <row r="1552" spans="10:13" x14ac:dyDescent="0.25">
      <c r="J1552" s="117"/>
      <c r="K1552" s="117"/>
      <c r="L1552" s="117"/>
      <c r="M1552" s="117"/>
    </row>
    <row r="1553" spans="10:13" x14ac:dyDescent="0.25">
      <c r="J1553" s="117"/>
      <c r="K1553" s="117"/>
      <c r="L1553" s="117"/>
      <c r="M1553" s="117"/>
    </row>
    <row r="1554" spans="10:13" x14ac:dyDescent="0.25">
      <c r="J1554" s="117"/>
      <c r="K1554" s="117"/>
      <c r="L1554" s="117"/>
      <c r="M1554" s="117"/>
    </row>
    <row r="1555" spans="10:13" x14ac:dyDescent="0.25">
      <c r="J1555" s="117"/>
      <c r="K1555" s="117"/>
      <c r="L1555" s="117"/>
      <c r="M1555" s="117"/>
    </row>
    <row r="1556" spans="10:13" x14ac:dyDescent="0.25">
      <c r="J1556" s="117"/>
      <c r="K1556" s="117"/>
      <c r="L1556" s="117"/>
      <c r="M1556" s="117"/>
    </row>
    <row r="1557" spans="10:13" x14ac:dyDescent="0.25">
      <c r="J1557" s="117"/>
      <c r="K1557" s="117"/>
      <c r="L1557" s="117"/>
      <c r="M1557" s="117"/>
    </row>
    <row r="1558" spans="10:13" x14ac:dyDescent="0.25">
      <c r="J1558" s="117"/>
      <c r="K1558" s="117"/>
      <c r="L1558" s="117"/>
      <c r="M1558" s="117"/>
    </row>
    <row r="1559" spans="10:13" x14ac:dyDescent="0.25">
      <c r="J1559" s="117"/>
      <c r="K1559" s="117"/>
      <c r="L1559" s="117"/>
      <c r="M1559" s="117"/>
    </row>
    <row r="1560" spans="10:13" x14ac:dyDescent="0.25">
      <c r="J1560" s="117"/>
      <c r="K1560" s="117"/>
      <c r="L1560" s="117"/>
      <c r="M1560" s="117"/>
    </row>
    <row r="1561" spans="10:13" x14ac:dyDescent="0.25">
      <c r="J1561" s="117"/>
      <c r="K1561" s="117"/>
      <c r="L1561" s="117"/>
      <c r="M1561" s="117"/>
    </row>
    <row r="1562" spans="10:13" x14ac:dyDescent="0.25">
      <c r="J1562" s="117"/>
      <c r="K1562" s="117"/>
      <c r="L1562" s="117"/>
      <c r="M1562" s="117"/>
    </row>
    <row r="1563" spans="10:13" x14ac:dyDescent="0.25">
      <c r="J1563" s="117"/>
      <c r="K1563" s="117"/>
      <c r="L1563" s="117"/>
      <c r="M1563" s="117"/>
    </row>
    <row r="1564" spans="10:13" x14ac:dyDescent="0.25">
      <c r="J1564" s="117"/>
      <c r="K1564" s="117"/>
      <c r="L1564" s="117"/>
      <c r="M1564" s="117"/>
    </row>
    <row r="1565" spans="10:13" x14ac:dyDescent="0.25">
      <c r="J1565" s="117"/>
      <c r="K1565" s="117"/>
      <c r="L1565" s="117"/>
      <c r="M1565" s="117"/>
    </row>
    <row r="1566" spans="10:13" x14ac:dyDescent="0.25">
      <c r="J1566" s="117"/>
      <c r="K1566" s="117"/>
      <c r="L1566" s="117"/>
      <c r="M1566" s="117"/>
    </row>
    <row r="1567" spans="10:13" x14ac:dyDescent="0.25">
      <c r="J1567" s="117"/>
      <c r="K1567" s="117"/>
      <c r="L1567" s="117"/>
      <c r="M1567" s="117"/>
    </row>
    <row r="1568" spans="10:13" x14ac:dyDescent="0.25">
      <c r="J1568" s="117"/>
      <c r="K1568" s="117"/>
      <c r="L1568" s="117"/>
      <c r="M1568" s="117"/>
    </row>
    <row r="1569" spans="10:13" x14ac:dyDescent="0.25">
      <c r="J1569" s="117"/>
      <c r="K1569" s="117"/>
      <c r="L1569" s="117"/>
      <c r="M1569" s="117"/>
    </row>
    <row r="1570" spans="10:13" x14ac:dyDescent="0.25">
      <c r="J1570" s="117"/>
      <c r="K1570" s="117"/>
      <c r="L1570" s="117"/>
      <c r="M1570" s="117"/>
    </row>
    <row r="1571" spans="10:13" x14ac:dyDescent="0.25">
      <c r="J1571" s="117"/>
      <c r="K1571" s="117"/>
      <c r="L1571" s="117"/>
      <c r="M1571" s="117"/>
    </row>
    <row r="1572" spans="10:13" x14ac:dyDescent="0.25">
      <c r="J1572" s="117"/>
      <c r="K1572" s="117"/>
      <c r="L1572" s="117"/>
      <c r="M1572" s="117"/>
    </row>
    <row r="1573" spans="10:13" x14ac:dyDescent="0.25">
      <c r="J1573" s="117"/>
      <c r="K1573" s="117"/>
      <c r="L1573" s="117"/>
      <c r="M1573" s="117"/>
    </row>
    <row r="1574" spans="10:13" x14ac:dyDescent="0.25">
      <c r="J1574" s="117"/>
      <c r="K1574" s="117"/>
      <c r="L1574" s="117"/>
      <c r="M1574" s="117"/>
    </row>
    <row r="1575" spans="10:13" x14ac:dyDescent="0.25">
      <c r="J1575" s="117"/>
      <c r="K1575" s="117"/>
      <c r="L1575" s="117"/>
      <c r="M1575" s="117"/>
    </row>
    <row r="1576" spans="10:13" x14ac:dyDescent="0.25">
      <c r="J1576" s="117"/>
      <c r="K1576" s="117"/>
      <c r="L1576" s="117"/>
      <c r="M1576" s="117"/>
    </row>
    <row r="1577" spans="10:13" x14ac:dyDescent="0.25">
      <c r="J1577" s="117"/>
      <c r="K1577" s="117"/>
      <c r="L1577" s="117"/>
      <c r="M1577" s="117"/>
    </row>
    <row r="1578" spans="10:13" x14ac:dyDescent="0.25">
      <c r="J1578" s="117"/>
      <c r="K1578" s="117"/>
      <c r="L1578" s="117"/>
      <c r="M1578" s="117"/>
    </row>
    <row r="1579" spans="10:13" x14ac:dyDescent="0.25">
      <c r="J1579" s="117"/>
      <c r="K1579" s="117"/>
      <c r="L1579" s="117"/>
      <c r="M1579" s="117"/>
    </row>
    <row r="1580" spans="10:13" x14ac:dyDescent="0.25">
      <c r="J1580" s="117"/>
      <c r="K1580" s="117"/>
      <c r="L1580" s="117"/>
      <c r="M1580" s="117"/>
    </row>
    <row r="1581" spans="10:13" x14ac:dyDescent="0.25">
      <c r="J1581" s="117"/>
      <c r="K1581" s="117"/>
      <c r="L1581" s="117"/>
      <c r="M1581" s="117"/>
    </row>
    <row r="1582" spans="10:13" x14ac:dyDescent="0.25">
      <c r="J1582" s="117"/>
      <c r="K1582" s="117"/>
      <c r="L1582" s="117"/>
      <c r="M1582" s="117"/>
    </row>
    <row r="1583" spans="10:13" x14ac:dyDescent="0.25">
      <c r="J1583" s="117"/>
      <c r="K1583" s="117"/>
      <c r="L1583" s="117"/>
      <c r="M1583" s="117"/>
    </row>
    <row r="1584" spans="10:13" x14ac:dyDescent="0.25">
      <c r="J1584" s="117"/>
      <c r="K1584" s="117"/>
      <c r="L1584" s="117"/>
      <c r="M1584" s="117"/>
    </row>
    <row r="1585" spans="10:13" x14ac:dyDescent="0.25">
      <c r="J1585" s="117"/>
      <c r="K1585" s="117"/>
      <c r="L1585" s="117"/>
      <c r="M1585" s="117"/>
    </row>
    <row r="1586" spans="10:13" x14ac:dyDescent="0.25">
      <c r="J1586" s="117"/>
      <c r="K1586" s="117"/>
      <c r="L1586" s="117"/>
      <c r="M1586" s="117"/>
    </row>
    <row r="1587" spans="10:13" x14ac:dyDescent="0.25">
      <c r="J1587" s="117"/>
      <c r="K1587" s="117"/>
      <c r="L1587" s="117"/>
      <c r="M1587" s="117"/>
    </row>
    <row r="1588" spans="10:13" x14ac:dyDescent="0.25">
      <c r="J1588" s="117"/>
      <c r="K1588" s="117"/>
      <c r="L1588" s="117"/>
      <c r="M1588" s="117"/>
    </row>
    <row r="1589" spans="10:13" x14ac:dyDescent="0.25">
      <c r="J1589" s="117"/>
      <c r="K1589" s="117"/>
      <c r="L1589" s="117"/>
      <c r="M1589" s="117"/>
    </row>
    <row r="1590" spans="10:13" x14ac:dyDescent="0.25">
      <c r="J1590" s="117"/>
      <c r="K1590" s="117"/>
      <c r="L1590" s="117"/>
      <c r="M1590" s="117"/>
    </row>
    <row r="1591" spans="10:13" x14ac:dyDescent="0.25">
      <c r="J1591" s="117"/>
      <c r="K1591" s="117"/>
      <c r="L1591" s="117"/>
      <c r="M1591" s="117"/>
    </row>
    <row r="1592" spans="10:13" x14ac:dyDescent="0.25">
      <c r="J1592" s="117"/>
      <c r="K1592" s="117"/>
      <c r="L1592" s="117"/>
      <c r="M1592" s="117"/>
    </row>
    <row r="1593" spans="10:13" x14ac:dyDescent="0.25">
      <c r="J1593" s="117"/>
      <c r="K1593" s="117"/>
      <c r="L1593" s="117"/>
      <c r="M1593" s="117"/>
    </row>
    <row r="1594" spans="10:13" x14ac:dyDescent="0.25">
      <c r="J1594" s="117"/>
      <c r="K1594" s="117"/>
      <c r="L1594" s="117"/>
      <c r="M1594" s="117"/>
    </row>
    <row r="1595" spans="10:13" x14ac:dyDescent="0.25">
      <c r="J1595" s="117"/>
      <c r="K1595" s="117"/>
      <c r="L1595" s="117"/>
      <c r="M1595" s="117"/>
    </row>
    <row r="1596" spans="10:13" x14ac:dyDescent="0.25">
      <c r="J1596" s="117"/>
      <c r="K1596" s="117"/>
      <c r="L1596" s="117"/>
      <c r="M1596" s="117"/>
    </row>
    <row r="1597" spans="10:13" x14ac:dyDescent="0.25">
      <c r="J1597" s="117"/>
      <c r="K1597" s="117"/>
      <c r="L1597" s="117"/>
      <c r="M1597" s="117"/>
    </row>
    <row r="1598" spans="10:13" x14ac:dyDescent="0.25">
      <c r="J1598" s="117"/>
      <c r="K1598" s="117"/>
      <c r="L1598" s="117"/>
      <c r="M1598" s="117"/>
    </row>
    <row r="1599" spans="10:13" x14ac:dyDescent="0.25">
      <c r="J1599" s="117"/>
      <c r="K1599" s="117"/>
      <c r="L1599" s="117"/>
      <c r="M1599" s="117"/>
    </row>
    <row r="1600" spans="10:13" x14ac:dyDescent="0.25">
      <c r="J1600" s="117"/>
      <c r="K1600" s="117"/>
      <c r="L1600" s="117"/>
      <c r="M1600" s="117"/>
    </row>
    <row r="1601" spans="10:13" x14ac:dyDescent="0.25">
      <c r="J1601" s="117"/>
      <c r="K1601" s="117"/>
      <c r="L1601" s="117"/>
      <c r="M1601" s="117"/>
    </row>
    <row r="1602" spans="10:13" x14ac:dyDescent="0.25">
      <c r="J1602" s="117"/>
      <c r="K1602" s="117"/>
      <c r="L1602" s="117"/>
      <c r="M1602" s="117"/>
    </row>
    <row r="1603" spans="10:13" x14ac:dyDescent="0.25">
      <c r="J1603" s="117"/>
      <c r="K1603" s="117"/>
      <c r="L1603" s="117"/>
      <c r="M1603" s="117"/>
    </row>
    <row r="1604" spans="10:13" x14ac:dyDescent="0.25">
      <c r="J1604" s="117"/>
      <c r="K1604" s="117"/>
      <c r="L1604" s="117"/>
      <c r="M1604" s="117"/>
    </row>
    <row r="1605" spans="10:13" x14ac:dyDescent="0.25">
      <c r="J1605" s="117"/>
      <c r="K1605" s="117"/>
      <c r="L1605" s="117"/>
      <c r="M1605" s="117"/>
    </row>
    <row r="1606" spans="10:13" x14ac:dyDescent="0.25">
      <c r="J1606" s="117"/>
      <c r="K1606" s="117"/>
      <c r="L1606" s="117"/>
      <c r="M1606" s="117"/>
    </row>
    <row r="1607" spans="10:13" x14ac:dyDescent="0.25">
      <c r="J1607" s="117"/>
      <c r="K1607" s="117"/>
      <c r="L1607" s="117"/>
      <c r="M1607" s="117"/>
    </row>
    <row r="1608" spans="10:13" x14ac:dyDescent="0.25">
      <c r="J1608" s="117"/>
      <c r="K1608" s="117"/>
      <c r="L1608" s="117"/>
      <c r="M1608" s="117"/>
    </row>
    <row r="1609" spans="10:13" x14ac:dyDescent="0.25">
      <c r="J1609" s="117"/>
      <c r="K1609" s="117"/>
      <c r="L1609" s="117"/>
      <c r="M1609" s="117"/>
    </row>
    <row r="1610" spans="10:13" x14ac:dyDescent="0.25">
      <c r="J1610" s="117"/>
      <c r="K1610" s="117"/>
      <c r="L1610" s="117"/>
      <c r="M1610" s="117"/>
    </row>
    <row r="1611" spans="10:13" x14ac:dyDescent="0.25">
      <c r="J1611" s="117"/>
      <c r="K1611" s="117"/>
      <c r="L1611" s="117"/>
      <c r="M1611" s="117"/>
    </row>
    <row r="1612" spans="10:13" x14ac:dyDescent="0.25">
      <c r="J1612" s="117"/>
      <c r="K1612" s="117"/>
      <c r="L1612" s="117"/>
      <c r="M1612" s="117"/>
    </row>
    <row r="1613" spans="10:13" x14ac:dyDescent="0.25">
      <c r="J1613" s="117"/>
      <c r="K1613" s="117"/>
      <c r="L1613" s="117"/>
      <c r="M1613" s="117"/>
    </row>
    <row r="1614" spans="10:13" x14ac:dyDescent="0.25">
      <c r="J1614" s="117"/>
      <c r="K1614" s="117"/>
      <c r="L1614" s="117"/>
      <c r="M1614" s="117"/>
    </row>
    <row r="1615" spans="10:13" x14ac:dyDescent="0.25">
      <c r="J1615" s="117"/>
      <c r="K1615" s="117"/>
      <c r="L1615" s="117"/>
      <c r="M1615" s="117"/>
    </row>
    <row r="1616" spans="10:13" x14ac:dyDescent="0.25">
      <c r="J1616" s="117"/>
      <c r="K1616" s="117"/>
      <c r="L1616" s="117"/>
      <c r="M1616" s="117"/>
    </row>
    <row r="1617" spans="10:13" x14ac:dyDescent="0.25">
      <c r="J1617" s="117"/>
      <c r="K1617" s="117"/>
      <c r="L1617" s="117"/>
      <c r="M1617" s="117"/>
    </row>
    <row r="1618" spans="10:13" x14ac:dyDescent="0.25">
      <c r="J1618" s="117"/>
      <c r="K1618" s="117"/>
      <c r="L1618" s="117"/>
      <c r="M1618" s="117"/>
    </row>
    <row r="1619" spans="10:13" x14ac:dyDescent="0.25">
      <c r="J1619" s="117"/>
      <c r="K1619" s="117"/>
      <c r="L1619" s="117"/>
      <c r="M1619" s="117"/>
    </row>
    <row r="1620" spans="10:13" x14ac:dyDescent="0.25">
      <c r="J1620" s="117"/>
      <c r="K1620" s="117"/>
      <c r="L1620" s="117"/>
      <c r="M1620" s="117"/>
    </row>
    <row r="1621" spans="10:13" x14ac:dyDescent="0.25">
      <c r="J1621" s="117"/>
      <c r="K1621" s="117"/>
      <c r="L1621" s="117"/>
      <c r="M1621" s="117"/>
    </row>
    <row r="1622" spans="10:13" x14ac:dyDescent="0.25">
      <c r="J1622" s="117"/>
      <c r="K1622" s="117"/>
      <c r="L1622" s="117"/>
      <c r="M1622" s="117"/>
    </row>
    <row r="1623" spans="10:13" x14ac:dyDescent="0.25">
      <c r="J1623" s="117"/>
      <c r="K1623" s="117"/>
      <c r="L1623" s="117"/>
      <c r="M1623" s="117"/>
    </row>
    <row r="1624" spans="10:13" x14ac:dyDescent="0.25">
      <c r="J1624" s="117"/>
      <c r="K1624" s="117"/>
      <c r="L1624" s="117"/>
      <c r="M1624" s="117"/>
    </row>
    <row r="1625" spans="10:13" x14ac:dyDescent="0.25">
      <c r="J1625" s="117"/>
      <c r="K1625" s="117"/>
      <c r="L1625" s="117"/>
      <c r="M1625" s="117"/>
    </row>
    <row r="1626" spans="10:13" x14ac:dyDescent="0.25">
      <c r="J1626" s="117"/>
      <c r="K1626" s="117"/>
      <c r="L1626" s="117"/>
      <c r="M1626" s="117"/>
    </row>
    <row r="1627" spans="10:13" x14ac:dyDescent="0.25">
      <c r="J1627" s="117"/>
      <c r="K1627" s="117"/>
      <c r="L1627" s="117"/>
      <c r="M1627" s="117"/>
    </row>
    <row r="1628" spans="10:13" x14ac:dyDescent="0.25">
      <c r="J1628" s="117"/>
      <c r="K1628" s="117"/>
      <c r="L1628" s="117"/>
      <c r="M1628" s="117"/>
    </row>
    <row r="1629" spans="10:13" x14ac:dyDescent="0.25">
      <c r="J1629" s="117"/>
      <c r="K1629" s="117"/>
      <c r="L1629" s="117"/>
      <c r="M1629" s="117"/>
    </row>
    <row r="1630" spans="10:13" x14ac:dyDescent="0.25">
      <c r="J1630" s="117"/>
      <c r="K1630" s="117"/>
      <c r="L1630" s="117"/>
      <c r="M1630" s="117"/>
    </row>
  </sheetData>
  <mergeCells count="73">
    <mergeCell ref="C3:F3"/>
    <mergeCell ref="N5:O5"/>
    <mergeCell ref="J3:K3"/>
    <mergeCell ref="M3:O3"/>
    <mergeCell ref="D15:E15"/>
    <mergeCell ref="D14:E14"/>
    <mergeCell ref="D16:E16"/>
    <mergeCell ref="D17:E17"/>
    <mergeCell ref="D18:E18"/>
    <mergeCell ref="D19:E19"/>
    <mergeCell ref="D25:E25"/>
    <mergeCell ref="D26:E26"/>
    <mergeCell ref="D27:E27"/>
    <mergeCell ref="D28:E28"/>
    <mergeCell ref="D20:E20"/>
    <mergeCell ref="D21:E21"/>
    <mergeCell ref="D22:E22"/>
    <mergeCell ref="D24:E24"/>
    <mergeCell ref="D23:E23"/>
    <mergeCell ref="D45:E45"/>
    <mergeCell ref="D46:E46"/>
    <mergeCell ref="D47:E47"/>
    <mergeCell ref="D48:E48"/>
    <mergeCell ref="D40:E40"/>
    <mergeCell ref="D41:E41"/>
    <mergeCell ref="D42:E42"/>
    <mergeCell ref="D43:E43"/>
    <mergeCell ref="D44:E44"/>
    <mergeCell ref="D35:E35"/>
    <mergeCell ref="D36:E36"/>
    <mergeCell ref="D37:E37"/>
    <mergeCell ref="D38:E38"/>
    <mergeCell ref="D39:E39"/>
    <mergeCell ref="D31:E31"/>
    <mergeCell ref="F14:G14"/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46:G46"/>
    <mergeCell ref="F47:G47"/>
    <mergeCell ref="F48:G48"/>
    <mergeCell ref="F39:G39"/>
    <mergeCell ref="F40:G40"/>
    <mergeCell ref="F41:G41"/>
    <mergeCell ref="F42:G42"/>
    <mergeCell ref="F43:G43"/>
    <mergeCell ref="C31:C32"/>
    <mergeCell ref="F31:F32"/>
    <mergeCell ref="D29:E30"/>
    <mergeCell ref="F44:G44"/>
    <mergeCell ref="F45:G45"/>
    <mergeCell ref="F34:G34"/>
    <mergeCell ref="F35:G35"/>
    <mergeCell ref="F36:G36"/>
    <mergeCell ref="F37:G37"/>
    <mergeCell ref="F38:G38"/>
    <mergeCell ref="F29:G29"/>
    <mergeCell ref="F30:G30"/>
    <mergeCell ref="F33:G33"/>
    <mergeCell ref="D32:E32"/>
    <mergeCell ref="D33:E33"/>
    <mergeCell ref="D34:E34"/>
  </mergeCells>
  <phoneticPr fontId="1" type="noConversion"/>
  <dataValidations count="4">
    <dataValidation type="list" allowBlank="1" showInputMessage="1" showErrorMessage="1" sqref="G3" xr:uid="{5048EA60-0D4E-4128-91BA-78802C0126D5}">
      <formula1>$AE$2:$AE$35</formula1>
    </dataValidation>
    <dataValidation type="list" allowBlank="1" showInputMessage="1" showErrorMessage="1" sqref="J3" xr:uid="{0B2B1984-1CC1-44B0-9B56-B59AC96F57EF}">
      <formula1>$C$4:$C$12</formula1>
    </dataValidation>
    <dataValidation type="list" allowBlank="1" showInputMessage="1" showErrorMessage="1" sqref="M3" xr:uid="{D0CEFB6D-7910-424B-93F2-A339FFCB25E6}">
      <formula1>$F$4:$F$12</formula1>
    </dataValidation>
    <dataValidation type="list" allowBlank="1" showInputMessage="1" showErrorMessage="1" sqref="AB3" xr:uid="{65FE6615-0714-4768-AAD0-D1D065E0A482}">
      <formula1>equipe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5" name="Scroll Bar 2">
              <controlPr defaultSize="0" autoPict="0">
                <anchor moveWithCells="1">
                  <from>
                    <xdr:col>7</xdr:col>
                    <xdr:colOff>57150</xdr:colOff>
                    <xdr:row>2</xdr:row>
                    <xdr:rowOff>0</xdr:rowOff>
                  </from>
                  <to>
                    <xdr:col>7</xdr:col>
                    <xdr:colOff>342900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EAE56-F689-43EA-AE8B-D3C735C03456}">
  <dimension ref="B2:G1838"/>
  <sheetViews>
    <sheetView showGridLines="0" showRowColHeaders="0" workbookViewId="0">
      <pane ySplit="2" topLeftCell="A1711" activePane="bottomLeft" state="frozen"/>
      <selection pane="bottomLeft" activeCell="K1733" sqref="K1733"/>
    </sheetView>
  </sheetViews>
  <sheetFormatPr baseColWidth="10" defaultRowHeight="15.75" x14ac:dyDescent="0.25"/>
  <cols>
    <col min="1" max="2" width="11.42578125" style="117"/>
    <col min="3" max="3" width="5.7109375" style="117" customWidth="1"/>
    <col min="4" max="4" width="25.7109375" style="117" customWidth="1"/>
    <col min="5" max="6" width="5.7109375" style="117" customWidth="1"/>
    <col min="7" max="7" width="25.7109375" style="117" customWidth="1"/>
    <col min="8" max="16384" width="11.42578125" style="117"/>
  </cols>
  <sheetData>
    <row r="2" spans="2:7" x14ac:dyDescent="0.25">
      <c r="B2" s="126" t="s">
        <v>169</v>
      </c>
      <c r="C2" s="127" t="s">
        <v>4</v>
      </c>
      <c r="D2" s="127" t="s">
        <v>170</v>
      </c>
      <c r="E2" s="128" t="s">
        <v>176</v>
      </c>
      <c r="F2" s="129" t="s">
        <v>175</v>
      </c>
      <c r="G2" s="130" t="s">
        <v>171</v>
      </c>
    </row>
    <row r="3" spans="2:7" x14ac:dyDescent="0.25">
      <c r="B3" s="126" t="s">
        <v>147</v>
      </c>
      <c r="C3" s="127">
        <v>1</v>
      </c>
      <c r="D3" s="127" t="s">
        <v>79</v>
      </c>
      <c r="E3" s="127">
        <v>2</v>
      </c>
      <c r="F3" s="127">
        <v>1</v>
      </c>
      <c r="G3" s="130" t="s">
        <v>85</v>
      </c>
    </row>
    <row r="4" spans="2:7" x14ac:dyDescent="0.25">
      <c r="B4" s="126" t="s">
        <v>147</v>
      </c>
      <c r="C4" s="127">
        <v>1</v>
      </c>
      <c r="D4" s="127" t="s">
        <v>86</v>
      </c>
      <c r="E4" s="127">
        <v>2</v>
      </c>
      <c r="F4" s="127">
        <v>0</v>
      </c>
      <c r="G4" s="130" t="s">
        <v>92</v>
      </c>
    </row>
    <row r="5" spans="2:7" x14ac:dyDescent="0.25">
      <c r="B5" s="126" t="s">
        <v>147</v>
      </c>
      <c r="C5" s="127">
        <v>1</v>
      </c>
      <c r="D5" s="127" t="s">
        <v>172</v>
      </c>
      <c r="E5" s="127">
        <v>2</v>
      </c>
      <c r="F5" s="127">
        <v>1</v>
      </c>
      <c r="G5" s="130" t="s">
        <v>93</v>
      </c>
    </row>
    <row r="6" spans="2:7" x14ac:dyDescent="0.25">
      <c r="B6" s="126" t="s">
        <v>147</v>
      </c>
      <c r="C6" s="127">
        <v>1</v>
      </c>
      <c r="D6" s="127" t="s">
        <v>88</v>
      </c>
      <c r="E6" s="127">
        <v>2</v>
      </c>
      <c r="F6" s="127">
        <v>2</v>
      </c>
      <c r="G6" s="130" t="s">
        <v>87</v>
      </c>
    </row>
    <row r="7" spans="2:7" x14ac:dyDescent="0.25">
      <c r="B7" s="126" t="s">
        <v>147</v>
      </c>
      <c r="C7" s="127">
        <v>1</v>
      </c>
      <c r="D7" s="127" t="s">
        <v>84</v>
      </c>
      <c r="E7" s="127">
        <v>1</v>
      </c>
      <c r="F7" s="127">
        <v>0</v>
      </c>
      <c r="G7" s="130" t="s">
        <v>91</v>
      </c>
    </row>
    <row r="8" spans="2:7" x14ac:dyDescent="0.25">
      <c r="B8" s="126" t="s">
        <v>147</v>
      </c>
      <c r="C8" s="127">
        <v>1</v>
      </c>
      <c r="D8" s="127" t="s">
        <v>161</v>
      </c>
      <c r="E8" s="127">
        <v>0</v>
      </c>
      <c r="F8" s="127">
        <v>0</v>
      </c>
      <c r="G8" s="130" t="s">
        <v>173</v>
      </c>
    </row>
    <row r="9" spans="2:7" x14ac:dyDescent="0.25">
      <c r="B9" s="126" t="s">
        <v>147</v>
      </c>
      <c r="C9" s="127">
        <v>1</v>
      </c>
      <c r="D9" s="127" t="s">
        <v>80</v>
      </c>
      <c r="E9" s="127">
        <v>0</v>
      </c>
      <c r="F9" s="127">
        <v>2</v>
      </c>
      <c r="G9" s="130" t="s">
        <v>83</v>
      </c>
    </row>
    <row r="10" spans="2:7" x14ac:dyDescent="0.25">
      <c r="B10" s="126" t="s">
        <v>147</v>
      </c>
      <c r="C10" s="127">
        <v>1</v>
      </c>
      <c r="D10" s="127" t="s">
        <v>148</v>
      </c>
      <c r="E10" s="127">
        <v>2</v>
      </c>
      <c r="F10" s="127">
        <v>2</v>
      </c>
      <c r="G10" s="130" t="s">
        <v>90</v>
      </c>
    </row>
    <row r="11" spans="2:7" x14ac:dyDescent="0.25">
      <c r="B11" s="126" t="s">
        <v>147</v>
      </c>
      <c r="C11" s="127">
        <v>1</v>
      </c>
      <c r="D11" s="127" t="s">
        <v>82</v>
      </c>
      <c r="E11" s="127">
        <v>1</v>
      </c>
      <c r="F11" s="127">
        <v>1</v>
      </c>
      <c r="G11" s="130" t="s">
        <v>94</v>
      </c>
    </row>
    <row r="12" spans="2:7" x14ac:dyDescent="0.25">
      <c r="B12" s="126" t="s">
        <v>147</v>
      </c>
      <c r="C12" s="127">
        <v>2</v>
      </c>
      <c r="D12" s="127" t="s">
        <v>92</v>
      </c>
      <c r="E12" s="127">
        <v>2</v>
      </c>
      <c r="F12" s="127">
        <v>3</v>
      </c>
      <c r="G12" s="130" t="s">
        <v>80</v>
      </c>
    </row>
    <row r="13" spans="2:7" x14ac:dyDescent="0.25">
      <c r="B13" s="126" t="s">
        <v>147</v>
      </c>
      <c r="C13" s="127">
        <v>2</v>
      </c>
      <c r="D13" s="127" t="s">
        <v>83</v>
      </c>
      <c r="E13" s="127">
        <v>4</v>
      </c>
      <c r="F13" s="127">
        <v>2</v>
      </c>
      <c r="G13" s="130" t="s">
        <v>88</v>
      </c>
    </row>
    <row r="14" spans="2:7" x14ac:dyDescent="0.25">
      <c r="B14" s="126" t="s">
        <v>147</v>
      </c>
      <c r="C14" s="127">
        <v>2</v>
      </c>
      <c r="D14" s="127" t="s">
        <v>85</v>
      </c>
      <c r="E14" s="127">
        <v>2</v>
      </c>
      <c r="F14" s="127">
        <v>2</v>
      </c>
      <c r="G14" s="130" t="s">
        <v>84</v>
      </c>
    </row>
    <row r="15" spans="2:7" x14ac:dyDescent="0.25">
      <c r="B15" s="126" t="s">
        <v>147</v>
      </c>
      <c r="C15" s="127">
        <v>2</v>
      </c>
      <c r="D15" s="127" t="s">
        <v>87</v>
      </c>
      <c r="E15" s="127">
        <v>1</v>
      </c>
      <c r="F15" s="127">
        <v>1</v>
      </c>
      <c r="G15" s="130" t="s">
        <v>86</v>
      </c>
    </row>
    <row r="16" spans="2:7" x14ac:dyDescent="0.25">
      <c r="B16" s="126" t="s">
        <v>147</v>
      </c>
      <c r="C16" s="127">
        <v>2</v>
      </c>
      <c r="D16" s="127" t="s">
        <v>94</v>
      </c>
      <c r="E16" s="127">
        <v>0</v>
      </c>
      <c r="F16" s="127">
        <v>2</v>
      </c>
      <c r="G16" s="130" t="s">
        <v>161</v>
      </c>
    </row>
    <row r="17" spans="2:7" x14ac:dyDescent="0.25">
      <c r="B17" s="126" t="s">
        <v>147</v>
      </c>
      <c r="C17" s="127">
        <v>2</v>
      </c>
      <c r="D17" s="127" t="s">
        <v>173</v>
      </c>
      <c r="E17" s="127">
        <v>0</v>
      </c>
      <c r="F17" s="127">
        <v>3</v>
      </c>
      <c r="G17" s="130" t="s">
        <v>148</v>
      </c>
    </row>
    <row r="18" spans="2:7" x14ac:dyDescent="0.25">
      <c r="B18" s="126" t="s">
        <v>147</v>
      </c>
      <c r="C18" s="127">
        <v>2</v>
      </c>
      <c r="D18" s="127" t="s">
        <v>93</v>
      </c>
      <c r="E18" s="127">
        <v>1</v>
      </c>
      <c r="F18" s="127">
        <v>1</v>
      </c>
      <c r="G18" s="130" t="s">
        <v>79</v>
      </c>
    </row>
    <row r="19" spans="2:7" x14ac:dyDescent="0.25">
      <c r="B19" s="126" t="s">
        <v>147</v>
      </c>
      <c r="C19" s="127">
        <v>2</v>
      </c>
      <c r="D19" s="127" t="s">
        <v>90</v>
      </c>
      <c r="E19" s="127">
        <v>0</v>
      </c>
      <c r="F19" s="127">
        <v>0</v>
      </c>
      <c r="G19" s="130" t="s">
        <v>172</v>
      </c>
    </row>
    <row r="20" spans="2:7" x14ac:dyDescent="0.25">
      <c r="B20" s="126" t="s">
        <v>147</v>
      </c>
      <c r="C20" s="127">
        <v>2</v>
      </c>
      <c r="D20" s="127" t="s">
        <v>91</v>
      </c>
      <c r="E20" s="127">
        <v>0</v>
      </c>
      <c r="F20" s="127">
        <v>0</v>
      </c>
      <c r="G20" s="130" t="s">
        <v>82</v>
      </c>
    </row>
    <row r="21" spans="2:7" x14ac:dyDescent="0.25">
      <c r="B21" s="126" t="s">
        <v>147</v>
      </c>
      <c r="C21" s="127">
        <v>3</v>
      </c>
      <c r="D21" s="127" t="s">
        <v>83</v>
      </c>
      <c r="E21" s="127">
        <v>3</v>
      </c>
      <c r="F21" s="127">
        <v>3</v>
      </c>
      <c r="G21" s="130" t="s">
        <v>87</v>
      </c>
    </row>
    <row r="22" spans="2:7" x14ac:dyDescent="0.25">
      <c r="B22" s="126" t="s">
        <v>147</v>
      </c>
      <c r="C22" s="127">
        <v>3</v>
      </c>
      <c r="D22" s="127" t="s">
        <v>79</v>
      </c>
      <c r="E22" s="127">
        <v>2</v>
      </c>
      <c r="F22" s="127">
        <v>0</v>
      </c>
      <c r="G22" s="130" t="s">
        <v>94</v>
      </c>
    </row>
    <row r="23" spans="2:7" x14ac:dyDescent="0.25">
      <c r="B23" s="126" t="s">
        <v>147</v>
      </c>
      <c r="C23" s="127">
        <v>3</v>
      </c>
      <c r="D23" s="127" t="s">
        <v>80</v>
      </c>
      <c r="E23" s="127">
        <v>3</v>
      </c>
      <c r="F23" s="127">
        <v>1</v>
      </c>
      <c r="G23" s="130" t="s">
        <v>91</v>
      </c>
    </row>
    <row r="24" spans="2:7" x14ac:dyDescent="0.25">
      <c r="B24" s="126" t="s">
        <v>147</v>
      </c>
      <c r="C24" s="127">
        <v>3</v>
      </c>
      <c r="D24" s="127" t="s">
        <v>86</v>
      </c>
      <c r="E24" s="127">
        <v>1</v>
      </c>
      <c r="F24" s="127">
        <v>1</v>
      </c>
      <c r="G24" s="130" t="s">
        <v>85</v>
      </c>
    </row>
    <row r="25" spans="2:7" x14ac:dyDescent="0.25">
      <c r="B25" s="126" t="s">
        <v>147</v>
      </c>
      <c r="C25" s="127">
        <v>3</v>
      </c>
      <c r="D25" s="127" t="s">
        <v>88</v>
      </c>
      <c r="E25" s="127">
        <v>1</v>
      </c>
      <c r="F25" s="127">
        <v>3</v>
      </c>
      <c r="G25" s="130" t="s">
        <v>90</v>
      </c>
    </row>
    <row r="26" spans="2:7" x14ac:dyDescent="0.25">
      <c r="B26" s="126" t="s">
        <v>147</v>
      </c>
      <c r="C26" s="127">
        <v>3</v>
      </c>
      <c r="D26" s="127" t="s">
        <v>148</v>
      </c>
      <c r="E26" s="127">
        <v>0</v>
      </c>
      <c r="F26" s="127">
        <v>0</v>
      </c>
      <c r="G26" s="130" t="s">
        <v>161</v>
      </c>
    </row>
    <row r="27" spans="2:7" x14ac:dyDescent="0.25">
      <c r="B27" s="126" t="s">
        <v>147</v>
      </c>
      <c r="C27" s="127">
        <v>3</v>
      </c>
      <c r="D27" s="127" t="s">
        <v>82</v>
      </c>
      <c r="E27" s="127">
        <v>4</v>
      </c>
      <c r="F27" s="127">
        <v>1</v>
      </c>
      <c r="G27" s="130" t="s">
        <v>93</v>
      </c>
    </row>
    <row r="28" spans="2:7" x14ac:dyDescent="0.25">
      <c r="B28" s="126" t="s">
        <v>147</v>
      </c>
      <c r="C28" s="127">
        <v>3</v>
      </c>
      <c r="D28" s="127" t="s">
        <v>84</v>
      </c>
      <c r="E28" s="127">
        <v>0</v>
      </c>
      <c r="F28" s="127">
        <v>1</v>
      </c>
      <c r="G28" s="130" t="s">
        <v>92</v>
      </c>
    </row>
    <row r="29" spans="2:7" x14ac:dyDescent="0.25">
      <c r="B29" s="126" t="s">
        <v>147</v>
      </c>
      <c r="C29" s="127">
        <v>3</v>
      </c>
      <c r="D29" s="127" t="s">
        <v>172</v>
      </c>
      <c r="E29" s="127">
        <v>2</v>
      </c>
      <c r="F29" s="127">
        <v>0</v>
      </c>
      <c r="G29" s="130" t="s">
        <v>173</v>
      </c>
    </row>
    <row r="30" spans="2:7" x14ac:dyDescent="0.25">
      <c r="B30" s="126" t="s">
        <v>147</v>
      </c>
      <c r="C30" s="127">
        <v>4</v>
      </c>
      <c r="D30" s="127" t="s">
        <v>91</v>
      </c>
      <c r="E30" s="127">
        <v>2</v>
      </c>
      <c r="F30" s="127">
        <v>2</v>
      </c>
      <c r="G30" s="130" t="s">
        <v>88</v>
      </c>
    </row>
    <row r="31" spans="2:7" x14ac:dyDescent="0.25">
      <c r="B31" s="126" t="s">
        <v>147</v>
      </c>
      <c r="C31" s="127">
        <v>4</v>
      </c>
      <c r="D31" s="127" t="s">
        <v>93</v>
      </c>
      <c r="E31" s="127">
        <v>2</v>
      </c>
      <c r="F31" s="127">
        <v>2</v>
      </c>
      <c r="G31" s="130" t="s">
        <v>84</v>
      </c>
    </row>
    <row r="32" spans="2:7" x14ac:dyDescent="0.25">
      <c r="B32" s="126" t="s">
        <v>147</v>
      </c>
      <c r="C32" s="127">
        <v>4</v>
      </c>
      <c r="D32" s="127" t="s">
        <v>92</v>
      </c>
      <c r="E32" s="127">
        <v>4</v>
      </c>
      <c r="F32" s="127">
        <v>2</v>
      </c>
      <c r="G32" s="130" t="s">
        <v>87</v>
      </c>
    </row>
    <row r="33" spans="2:7" x14ac:dyDescent="0.25">
      <c r="B33" s="126" t="s">
        <v>147</v>
      </c>
      <c r="C33" s="127">
        <v>4</v>
      </c>
      <c r="D33" s="127" t="s">
        <v>94</v>
      </c>
      <c r="E33" s="127">
        <v>0</v>
      </c>
      <c r="F33" s="127">
        <v>2</v>
      </c>
      <c r="G33" s="130" t="s">
        <v>86</v>
      </c>
    </row>
    <row r="34" spans="2:7" x14ac:dyDescent="0.25">
      <c r="B34" s="126" t="s">
        <v>147</v>
      </c>
      <c r="C34" s="127">
        <v>4</v>
      </c>
      <c r="D34" s="127" t="s">
        <v>173</v>
      </c>
      <c r="E34" s="127">
        <v>0</v>
      </c>
      <c r="F34" s="127">
        <v>0</v>
      </c>
      <c r="G34" s="130" t="s">
        <v>79</v>
      </c>
    </row>
    <row r="35" spans="2:7" x14ac:dyDescent="0.25">
      <c r="B35" s="126" t="s">
        <v>147</v>
      </c>
      <c r="C35" s="127">
        <v>4</v>
      </c>
      <c r="D35" s="127" t="s">
        <v>148</v>
      </c>
      <c r="E35" s="127">
        <v>2</v>
      </c>
      <c r="F35" s="127">
        <v>0</v>
      </c>
      <c r="G35" s="130" t="s">
        <v>172</v>
      </c>
    </row>
    <row r="36" spans="2:7" x14ac:dyDescent="0.25">
      <c r="B36" s="126" t="s">
        <v>147</v>
      </c>
      <c r="C36" s="127">
        <v>4</v>
      </c>
      <c r="D36" s="127" t="s">
        <v>90</v>
      </c>
      <c r="E36" s="127">
        <v>2</v>
      </c>
      <c r="F36" s="127">
        <v>0</v>
      </c>
      <c r="G36" s="130" t="s">
        <v>80</v>
      </c>
    </row>
    <row r="37" spans="2:7" x14ac:dyDescent="0.25">
      <c r="B37" s="126" t="s">
        <v>147</v>
      </c>
      <c r="C37" s="127">
        <v>4</v>
      </c>
      <c r="D37" s="127" t="s">
        <v>85</v>
      </c>
      <c r="E37" s="127">
        <v>4</v>
      </c>
      <c r="F37" s="127">
        <v>1</v>
      </c>
      <c r="G37" s="130" t="s">
        <v>83</v>
      </c>
    </row>
    <row r="38" spans="2:7" x14ac:dyDescent="0.25">
      <c r="B38" s="126" t="s">
        <v>147</v>
      </c>
      <c r="C38" s="127">
        <v>4</v>
      </c>
      <c r="D38" s="127" t="s">
        <v>161</v>
      </c>
      <c r="E38" s="127">
        <v>0</v>
      </c>
      <c r="F38" s="127">
        <v>0</v>
      </c>
      <c r="G38" s="130" t="s">
        <v>82</v>
      </c>
    </row>
    <row r="39" spans="2:7" x14ac:dyDescent="0.25">
      <c r="B39" s="126" t="s">
        <v>147</v>
      </c>
      <c r="C39" s="127">
        <v>5</v>
      </c>
      <c r="D39" s="127" t="s">
        <v>79</v>
      </c>
      <c r="E39" s="127">
        <v>4</v>
      </c>
      <c r="F39" s="127">
        <v>0</v>
      </c>
      <c r="G39" s="130" t="s">
        <v>148</v>
      </c>
    </row>
    <row r="40" spans="2:7" x14ac:dyDescent="0.25">
      <c r="B40" s="126" t="s">
        <v>147</v>
      </c>
      <c r="C40" s="127">
        <v>5</v>
      </c>
      <c r="D40" s="127" t="s">
        <v>86</v>
      </c>
      <c r="E40" s="127">
        <v>3</v>
      </c>
      <c r="F40" s="127">
        <v>3</v>
      </c>
      <c r="G40" s="130" t="s">
        <v>91</v>
      </c>
    </row>
    <row r="41" spans="2:7" x14ac:dyDescent="0.25">
      <c r="B41" s="126" t="s">
        <v>147</v>
      </c>
      <c r="C41" s="127">
        <v>5</v>
      </c>
      <c r="D41" s="127" t="s">
        <v>87</v>
      </c>
      <c r="E41" s="127">
        <v>0</v>
      </c>
      <c r="F41" s="127">
        <v>3</v>
      </c>
      <c r="G41" s="130" t="s">
        <v>93</v>
      </c>
    </row>
    <row r="42" spans="2:7" x14ac:dyDescent="0.25">
      <c r="B42" s="126" t="s">
        <v>147</v>
      </c>
      <c r="C42" s="127">
        <v>5</v>
      </c>
      <c r="D42" s="127" t="s">
        <v>84</v>
      </c>
      <c r="E42" s="127">
        <v>2</v>
      </c>
      <c r="F42" s="127">
        <v>2</v>
      </c>
      <c r="G42" s="130" t="s">
        <v>90</v>
      </c>
    </row>
    <row r="43" spans="2:7" x14ac:dyDescent="0.25">
      <c r="B43" s="126" t="s">
        <v>147</v>
      </c>
      <c r="C43" s="127">
        <v>5</v>
      </c>
      <c r="D43" s="127" t="s">
        <v>80</v>
      </c>
      <c r="E43" s="127">
        <v>2</v>
      </c>
      <c r="F43" s="127">
        <v>2</v>
      </c>
      <c r="G43" s="130" t="s">
        <v>94</v>
      </c>
    </row>
    <row r="44" spans="2:7" x14ac:dyDescent="0.25">
      <c r="B44" s="126" t="s">
        <v>147</v>
      </c>
      <c r="C44" s="127">
        <v>5</v>
      </c>
      <c r="D44" s="127" t="s">
        <v>83</v>
      </c>
      <c r="E44" s="127">
        <v>1</v>
      </c>
      <c r="F44" s="127">
        <v>0</v>
      </c>
      <c r="G44" s="130" t="s">
        <v>92</v>
      </c>
    </row>
    <row r="45" spans="2:7" x14ac:dyDescent="0.25">
      <c r="B45" s="126" t="s">
        <v>147</v>
      </c>
      <c r="C45" s="127">
        <v>5</v>
      </c>
      <c r="D45" s="127" t="s">
        <v>82</v>
      </c>
      <c r="E45" s="127">
        <v>1</v>
      </c>
      <c r="F45" s="127">
        <v>0</v>
      </c>
      <c r="G45" s="130" t="s">
        <v>173</v>
      </c>
    </row>
    <row r="46" spans="2:7" x14ac:dyDescent="0.25">
      <c r="B46" s="126" t="s">
        <v>147</v>
      </c>
      <c r="C46" s="127">
        <v>5</v>
      </c>
      <c r="D46" s="127" t="s">
        <v>172</v>
      </c>
      <c r="E46" s="127">
        <v>1</v>
      </c>
      <c r="F46" s="127">
        <v>0</v>
      </c>
      <c r="G46" s="130" t="s">
        <v>161</v>
      </c>
    </row>
    <row r="47" spans="2:7" x14ac:dyDescent="0.25">
      <c r="B47" s="126" t="s">
        <v>147</v>
      </c>
      <c r="C47" s="127">
        <v>5</v>
      </c>
      <c r="D47" s="127" t="s">
        <v>88</v>
      </c>
      <c r="E47" s="127">
        <v>1</v>
      </c>
      <c r="F47" s="127">
        <v>0</v>
      </c>
      <c r="G47" s="130" t="s">
        <v>85</v>
      </c>
    </row>
    <row r="48" spans="2:7" x14ac:dyDescent="0.25">
      <c r="B48" s="126" t="s">
        <v>147</v>
      </c>
      <c r="C48" s="127">
        <v>6</v>
      </c>
      <c r="D48" s="127" t="s">
        <v>90</v>
      </c>
      <c r="E48" s="127">
        <v>0</v>
      </c>
      <c r="F48" s="127">
        <v>0</v>
      </c>
      <c r="G48" s="130" t="s">
        <v>86</v>
      </c>
    </row>
    <row r="49" spans="2:7" x14ac:dyDescent="0.25">
      <c r="B49" s="126" t="s">
        <v>147</v>
      </c>
      <c r="C49" s="127">
        <v>6</v>
      </c>
      <c r="D49" s="127" t="s">
        <v>93</v>
      </c>
      <c r="E49" s="127">
        <v>2</v>
      </c>
      <c r="F49" s="127">
        <v>1</v>
      </c>
      <c r="G49" s="130" t="s">
        <v>80</v>
      </c>
    </row>
    <row r="50" spans="2:7" x14ac:dyDescent="0.25">
      <c r="B50" s="126" t="s">
        <v>147</v>
      </c>
      <c r="C50" s="127">
        <v>6</v>
      </c>
      <c r="D50" s="127" t="s">
        <v>91</v>
      </c>
      <c r="E50" s="127">
        <v>0</v>
      </c>
      <c r="F50" s="127">
        <v>0</v>
      </c>
      <c r="G50" s="130" t="s">
        <v>83</v>
      </c>
    </row>
    <row r="51" spans="2:7" x14ac:dyDescent="0.25">
      <c r="B51" s="126" t="s">
        <v>147</v>
      </c>
      <c r="C51" s="127">
        <v>6</v>
      </c>
      <c r="D51" s="127" t="s">
        <v>94</v>
      </c>
      <c r="E51" s="127">
        <v>1</v>
      </c>
      <c r="F51" s="127">
        <v>0</v>
      </c>
      <c r="G51" s="130" t="s">
        <v>172</v>
      </c>
    </row>
    <row r="52" spans="2:7" x14ac:dyDescent="0.25">
      <c r="B52" s="126" t="s">
        <v>147</v>
      </c>
      <c r="C52" s="127">
        <v>6</v>
      </c>
      <c r="D52" s="127" t="s">
        <v>161</v>
      </c>
      <c r="E52" s="127">
        <v>0</v>
      </c>
      <c r="F52" s="127">
        <v>2</v>
      </c>
      <c r="G52" s="130" t="s">
        <v>79</v>
      </c>
    </row>
    <row r="53" spans="2:7" x14ac:dyDescent="0.25">
      <c r="B53" s="126" t="s">
        <v>147</v>
      </c>
      <c r="C53" s="127">
        <v>6</v>
      </c>
      <c r="D53" s="127" t="s">
        <v>148</v>
      </c>
      <c r="E53" s="127">
        <v>1</v>
      </c>
      <c r="F53" s="127">
        <v>2</v>
      </c>
      <c r="G53" s="130" t="s">
        <v>82</v>
      </c>
    </row>
    <row r="54" spans="2:7" x14ac:dyDescent="0.25">
      <c r="B54" s="126" t="s">
        <v>147</v>
      </c>
      <c r="C54" s="127">
        <v>6</v>
      </c>
      <c r="D54" s="127" t="s">
        <v>85</v>
      </c>
      <c r="E54" s="127">
        <v>2</v>
      </c>
      <c r="F54" s="127">
        <v>1</v>
      </c>
      <c r="G54" s="130" t="s">
        <v>87</v>
      </c>
    </row>
    <row r="55" spans="2:7" x14ac:dyDescent="0.25">
      <c r="B55" s="126" t="s">
        <v>147</v>
      </c>
      <c r="C55" s="127">
        <v>6</v>
      </c>
      <c r="D55" s="127" t="s">
        <v>92</v>
      </c>
      <c r="E55" s="127">
        <v>1</v>
      </c>
      <c r="F55" s="127">
        <v>0</v>
      </c>
      <c r="G55" s="130" t="s">
        <v>88</v>
      </c>
    </row>
    <row r="56" spans="2:7" x14ac:dyDescent="0.25">
      <c r="B56" s="126" t="s">
        <v>147</v>
      </c>
      <c r="C56" s="127">
        <v>6</v>
      </c>
      <c r="D56" s="127" t="s">
        <v>173</v>
      </c>
      <c r="E56" s="127">
        <v>1</v>
      </c>
      <c r="F56" s="127">
        <v>2</v>
      </c>
      <c r="G56" s="130" t="s">
        <v>84</v>
      </c>
    </row>
    <row r="57" spans="2:7" x14ac:dyDescent="0.25">
      <c r="B57" s="126" t="s">
        <v>147</v>
      </c>
      <c r="C57" s="127">
        <v>7</v>
      </c>
      <c r="D57" s="127" t="s">
        <v>88</v>
      </c>
      <c r="E57" s="127">
        <v>3</v>
      </c>
      <c r="F57" s="127">
        <v>2</v>
      </c>
      <c r="G57" s="130" t="s">
        <v>94</v>
      </c>
    </row>
    <row r="58" spans="2:7" x14ac:dyDescent="0.25">
      <c r="B58" s="126" t="s">
        <v>147</v>
      </c>
      <c r="C58" s="127">
        <v>7</v>
      </c>
      <c r="D58" s="127" t="s">
        <v>79</v>
      </c>
      <c r="E58" s="127">
        <v>4</v>
      </c>
      <c r="F58" s="127">
        <v>0</v>
      </c>
      <c r="G58" s="130" t="s">
        <v>172</v>
      </c>
    </row>
    <row r="59" spans="2:7" x14ac:dyDescent="0.25">
      <c r="B59" s="126" t="s">
        <v>147</v>
      </c>
      <c r="C59" s="127">
        <v>7</v>
      </c>
      <c r="D59" s="127" t="s">
        <v>80</v>
      </c>
      <c r="E59" s="127">
        <v>0</v>
      </c>
      <c r="F59" s="127">
        <v>1</v>
      </c>
      <c r="G59" s="130" t="s">
        <v>173</v>
      </c>
    </row>
    <row r="60" spans="2:7" x14ac:dyDescent="0.25">
      <c r="B60" s="126" t="s">
        <v>147</v>
      </c>
      <c r="C60" s="127">
        <v>7</v>
      </c>
      <c r="D60" s="127" t="s">
        <v>83</v>
      </c>
      <c r="E60" s="127">
        <v>2</v>
      </c>
      <c r="F60" s="127">
        <v>2</v>
      </c>
      <c r="G60" s="130" t="s">
        <v>148</v>
      </c>
    </row>
    <row r="61" spans="2:7" x14ac:dyDescent="0.25">
      <c r="B61" s="126" t="s">
        <v>147</v>
      </c>
      <c r="C61" s="127">
        <v>7</v>
      </c>
      <c r="D61" s="127" t="s">
        <v>86</v>
      </c>
      <c r="E61" s="127">
        <v>2</v>
      </c>
      <c r="F61" s="127">
        <v>1</v>
      </c>
      <c r="G61" s="130" t="s">
        <v>93</v>
      </c>
    </row>
    <row r="62" spans="2:7" x14ac:dyDescent="0.25">
      <c r="B62" s="126" t="s">
        <v>147</v>
      </c>
      <c r="C62" s="127">
        <v>7</v>
      </c>
      <c r="D62" s="127" t="s">
        <v>87</v>
      </c>
      <c r="E62" s="127">
        <v>1</v>
      </c>
      <c r="F62" s="127">
        <v>1</v>
      </c>
      <c r="G62" s="130" t="s">
        <v>91</v>
      </c>
    </row>
    <row r="63" spans="2:7" x14ac:dyDescent="0.25">
      <c r="B63" s="126" t="s">
        <v>147</v>
      </c>
      <c r="C63" s="127">
        <v>7</v>
      </c>
      <c r="D63" s="127" t="s">
        <v>84</v>
      </c>
      <c r="E63" s="127">
        <v>3</v>
      </c>
      <c r="F63" s="127">
        <v>2</v>
      </c>
      <c r="G63" s="130" t="s">
        <v>161</v>
      </c>
    </row>
    <row r="64" spans="2:7" x14ac:dyDescent="0.25">
      <c r="B64" s="126" t="s">
        <v>147</v>
      </c>
      <c r="C64" s="127">
        <v>7</v>
      </c>
      <c r="D64" s="127" t="s">
        <v>85</v>
      </c>
      <c r="E64" s="127">
        <v>1</v>
      </c>
      <c r="F64" s="127">
        <v>0</v>
      </c>
      <c r="G64" s="130" t="s">
        <v>92</v>
      </c>
    </row>
    <row r="65" spans="2:7" x14ac:dyDescent="0.25">
      <c r="B65" s="126" t="s">
        <v>147</v>
      </c>
      <c r="C65" s="127">
        <v>7</v>
      </c>
      <c r="D65" s="127" t="s">
        <v>82</v>
      </c>
      <c r="E65" s="127">
        <v>1</v>
      </c>
      <c r="F65" s="127">
        <v>1</v>
      </c>
      <c r="G65" s="130" t="s">
        <v>90</v>
      </c>
    </row>
    <row r="66" spans="2:7" x14ac:dyDescent="0.25">
      <c r="B66" s="126" t="s">
        <v>147</v>
      </c>
      <c r="C66" s="127">
        <v>8</v>
      </c>
      <c r="D66" s="127" t="s">
        <v>79</v>
      </c>
      <c r="E66" s="127">
        <v>6</v>
      </c>
      <c r="F66" s="127">
        <v>0</v>
      </c>
      <c r="G66" s="130" t="s">
        <v>87</v>
      </c>
    </row>
    <row r="67" spans="2:7" x14ac:dyDescent="0.25">
      <c r="B67" s="126" t="s">
        <v>147</v>
      </c>
      <c r="C67" s="127">
        <v>8</v>
      </c>
      <c r="D67" s="127" t="s">
        <v>90</v>
      </c>
      <c r="E67" s="127">
        <v>2</v>
      </c>
      <c r="F67" s="127">
        <v>1</v>
      </c>
      <c r="G67" s="130" t="s">
        <v>92</v>
      </c>
    </row>
    <row r="68" spans="2:7" x14ac:dyDescent="0.25">
      <c r="B68" s="126" t="s">
        <v>147</v>
      </c>
      <c r="C68" s="127">
        <v>8</v>
      </c>
      <c r="D68" s="127" t="s">
        <v>172</v>
      </c>
      <c r="E68" s="127">
        <v>0</v>
      </c>
      <c r="F68" s="127">
        <v>3</v>
      </c>
      <c r="G68" s="130" t="s">
        <v>82</v>
      </c>
    </row>
    <row r="69" spans="2:7" x14ac:dyDescent="0.25">
      <c r="B69" s="126" t="s">
        <v>147</v>
      </c>
      <c r="C69" s="127">
        <v>8</v>
      </c>
      <c r="D69" s="127" t="s">
        <v>91</v>
      </c>
      <c r="E69" s="127">
        <v>1</v>
      </c>
      <c r="F69" s="127">
        <v>2</v>
      </c>
      <c r="G69" s="130" t="s">
        <v>85</v>
      </c>
    </row>
    <row r="70" spans="2:7" x14ac:dyDescent="0.25">
      <c r="B70" s="126" t="s">
        <v>147</v>
      </c>
      <c r="C70" s="127">
        <v>8</v>
      </c>
      <c r="D70" s="127" t="s">
        <v>94</v>
      </c>
      <c r="E70" s="127">
        <v>3</v>
      </c>
      <c r="F70" s="127">
        <v>3</v>
      </c>
      <c r="G70" s="130" t="s">
        <v>83</v>
      </c>
    </row>
    <row r="71" spans="2:7" x14ac:dyDescent="0.25">
      <c r="B71" s="126" t="s">
        <v>147</v>
      </c>
      <c r="C71" s="127">
        <v>8</v>
      </c>
      <c r="D71" s="127" t="s">
        <v>161</v>
      </c>
      <c r="E71" s="127">
        <v>2</v>
      </c>
      <c r="F71" s="127">
        <v>1</v>
      </c>
      <c r="G71" s="130" t="s">
        <v>80</v>
      </c>
    </row>
    <row r="72" spans="2:7" x14ac:dyDescent="0.25">
      <c r="B72" s="126" t="s">
        <v>147</v>
      </c>
      <c r="C72" s="127">
        <v>8</v>
      </c>
      <c r="D72" s="127" t="s">
        <v>93</v>
      </c>
      <c r="E72" s="127">
        <v>2</v>
      </c>
      <c r="F72" s="127">
        <v>0</v>
      </c>
      <c r="G72" s="130" t="s">
        <v>88</v>
      </c>
    </row>
    <row r="73" spans="2:7" x14ac:dyDescent="0.25">
      <c r="B73" s="126" t="s">
        <v>147</v>
      </c>
      <c r="C73" s="127">
        <v>8</v>
      </c>
      <c r="D73" s="127" t="s">
        <v>173</v>
      </c>
      <c r="E73" s="127">
        <v>1</v>
      </c>
      <c r="F73" s="127">
        <v>1</v>
      </c>
      <c r="G73" s="130" t="s">
        <v>86</v>
      </c>
    </row>
    <row r="74" spans="2:7" x14ac:dyDescent="0.25">
      <c r="B74" s="126" t="s">
        <v>147</v>
      </c>
      <c r="C74" s="127">
        <v>8</v>
      </c>
      <c r="D74" s="127" t="s">
        <v>148</v>
      </c>
      <c r="E74" s="127">
        <v>3</v>
      </c>
      <c r="F74" s="127">
        <v>1</v>
      </c>
      <c r="G74" s="130" t="s">
        <v>84</v>
      </c>
    </row>
    <row r="75" spans="2:7" x14ac:dyDescent="0.25">
      <c r="B75" s="126" t="s">
        <v>147</v>
      </c>
      <c r="C75" s="127">
        <v>9</v>
      </c>
      <c r="D75" s="127" t="s">
        <v>87</v>
      </c>
      <c r="E75" s="127">
        <v>0</v>
      </c>
      <c r="F75" s="127">
        <v>1</v>
      </c>
      <c r="G75" s="130" t="s">
        <v>161</v>
      </c>
    </row>
    <row r="76" spans="2:7" x14ac:dyDescent="0.25">
      <c r="B76" s="126" t="s">
        <v>147</v>
      </c>
      <c r="C76" s="127">
        <v>9</v>
      </c>
      <c r="D76" s="127" t="s">
        <v>80</v>
      </c>
      <c r="E76" s="127">
        <v>0</v>
      </c>
      <c r="F76" s="127">
        <v>1</v>
      </c>
      <c r="G76" s="130" t="s">
        <v>172</v>
      </c>
    </row>
    <row r="77" spans="2:7" x14ac:dyDescent="0.25">
      <c r="B77" s="126" t="s">
        <v>147</v>
      </c>
      <c r="C77" s="127">
        <v>9</v>
      </c>
      <c r="D77" s="127" t="s">
        <v>92</v>
      </c>
      <c r="E77" s="127">
        <v>2</v>
      </c>
      <c r="F77" s="127">
        <v>0</v>
      </c>
      <c r="G77" s="130" t="s">
        <v>91</v>
      </c>
    </row>
    <row r="78" spans="2:7" x14ac:dyDescent="0.25">
      <c r="B78" s="126" t="s">
        <v>147</v>
      </c>
      <c r="C78" s="127">
        <v>9</v>
      </c>
      <c r="D78" s="127" t="s">
        <v>86</v>
      </c>
      <c r="E78" s="127">
        <v>1</v>
      </c>
      <c r="F78" s="127">
        <v>0</v>
      </c>
      <c r="G78" s="130" t="s">
        <v>148</v>
      </c>
    </row>
    <row r="79" spans="2:7" x14ac:dyDescent="0.25">
      <c r="B79" s="126" t="s">
        <v>147</v>
      </c>
      <c r="C79" s="127">
        <v>9</v>
      </c>
      <c r="D79" s="127" t="s">
        <v>88</v>
      </c>
      <c r="E79" s="127">
        <v>3</v>
      </c>
      <c r="F79" s="127">
        <v>0</v>
      </c>
      <c r="G79" s="130" t="s">
        <v>173</v>
      </c>
    </row>
    <row r="80" spans="2:7" x14ac:dyDescent="0.25">
      <c r="B80" s="126" t="s">
        <v>147</v>
      </c>
      <c r="C80" s="127">
        <v>9</v>
      </c>
      <c r="D80" s="127" t="s">
        <v>84</v>
      </c>
      <c r="E80" s="127">
        <v>4</v>
      </c>
      <c r="F80" s="127">
        <v>5</v>
      </c>
      <c r="G80" s="130" t="s">
        <v>94</v>
      </c>
    </row>
    <row r="81" spans="2:7" x14ac:dyDescent="0.25">
      <c r="B81" s="126" t="s">
        <v>147</v>
      </c>
      <c r="C81" s="127">
        <v>9</v>
      </c>
      <c r="D81" s="127" t="s">
        <v>83</v>
      </c>
      <c r="E81" s="127">
        <v>1</v>
      </c>
      <c r="F81" s="127">
        <v>0</v>
      </c>
      <c r="G81" s="130" t="s">
        <v>93</v>
      </c>
    </row>
    <row r="82" spans="2:7" x14ac:dyDescent="0.25">
      <c r="B82" s="126" t="s">
        <v>147</v>
      </c>
      <c r="C82" s="127">
        <v>9</v>
      </c>
      <c r="D82" s="127" t="s">
        <v>85</v>
      </c>
      <c r="E82" s="127">
        <v>3</v>
      </c>
      <c r="F82" s="127">
        <v>0</v>
      </c>
      <c r="G82" s="130" t="s">
        <v>90</v>
      </c>
    </row>
    <row r="83" spans="2:7" x14ac:dyDescent="0.25">
      <c r="B83" s="126" t="s">
        <v>147</v>
      </c>
      <c r="C83" s="127">
        <v>9</v>
      </c>
      <c r="D83" s="127" t="s">
        <v>82</v>
      </c>
      <c r="E83" s="127">
        <v>0</v>
      </c>
      <c r="F83" s="127">
        <v>0</v>
      </c>
      <c r="G83" s="130" t="s">
        <v>79</v>
      </c>
    </row>
    <row r="84" spans="2:7" x14ac:dyDescent="0.25">
      <c r="B84" s="126" t="s">
        <v>147</v>
      </c>
      <c r="C84" s="127">
        <v>10</v>
      </c>
      <c r="D84" s="127" t="s">
        <v>93</v>
      </c>
      <c r="E84" s="127">
        <v>1</v>
      </c>
      <c r="F84" s="127">
        <v>0</v>
      </c>
      <c r="G84" s="130" t="s">
        <v>92</v>
      </c>
    </row>
    <row r="85" spans="2:7" x14ac:dyDescent="0.25">
      <c r="B85" s="126" t="s">
        <v>147</v>
      </c>
      <c r="C85" s="127">
        <v>10</v>
      </c>
      <c r="D85" s="127" t="s">
        <v>90</v>
      </c>
      <c r="E85" s="127">
        <v>1</v>
      </c>
      <c r="F85" s="127">
        <v>2</v>
      </c>
      <c r="G85" s="130" t="s">
        <v>87</v>
      </c>
    </row>
    <row r="86" spans="2:7" x14ac:dyDescent="0.25">
      <c r="B86" s="126" t="s">
        <v>147</v>
      </c>
      <c r="C86" s="127">
        <v>10</v>
      </c>
      <c r="D86" s="127" t="s">
        <v>172</v>
      </c>
      <c r="E86" s="127">
        <v>1</v>
      </c>
      <c r="F86" s="127">
        <v>0</v>
      </c>
      <c r="G86" s="130" t="s">
        <v>84</v>
      </c>
    </row>
    <row r="87" spans="2:7" x14ac:dyDescent="0.25">
      <c r="B87" s="126" t="s">
        <v>147</v>
      </c>
      <c r="C87" s="127">
        <v>10</v>
      </c>
      <c r="D87" s="127" t="s">
        <v>94</v>
      </c>
      <c r="E87" s="127">
        <v>0</v>
      </c>
      <c r="F87" s="127">
        <v>4</v>
      </c>
      <c r="G87" s="130" t="s">
        <v>85</v>
      </c>
    </row>
    <row r="88" spans="2:7" x14ac:dyDescent="0.25">
      <c r="B88" s="126" t="s">
        <v>147</v>
      </c>
      <c r="C88" s="127">
        <v>10</v>
      </c>
      <c r="D88" s="127" t="s">
        <v>173</v>
      </c>
      <c r="E88" s="127">
        <v>1</v>
      </c>
      <c r="F88" s="127">
        <v>0</v>
      </c>
      <c r="G88" s="130" t="s">
        <v>83</v>
      </c>
    </row>
    <row r="89" spans="2:7" x14ac:dyDescent="0.25">
      <c r="B89" s="126" t="s">
        <v>147</v>
      </c>
      <c r="C89" s="127">
        <v>10</v>
      </c>
      <c r="D89" s="127" t="s">
        <v>79</v>
      </c>
      <c r="E89" s="127">
        <v>2</v>
      </c>
      <c r="F89" s="127">
        <v>1</v>
      </c>
      <c r="G89" s="130" t="s">
        <v>80</v>
      </c>
    </row>
    <row r="90" spans="2:7" x14ac:dyDescent="0.25">
      <c r="B90" s="126" t="s">
        <v>147</v>
      </c>
      <c r="C90" s="127">
        <v>10</v>
      </c>
      <c r="D90" s="127" t="s">
        <v>82</v>
      </c>
      <c r="E90" s="127">
        <v>3</v>
      </c>
      <c r="F90" s="127">
        <v>1</v>
      </c>
      <c r="G90" s="130" t="s">
        <v>86</v>
      </c>
    </row>
    <row r="91" spans="2:7" x14ac:dyDescent="0.25">
      <c r="B91" s="126" t="s">
        <v>147</v>
      </c>
      <c r="C91" s="127">
        <v>10</v>
      </c>
      <c r="D91" s="127" t="s">
        <v>161</v>
      </c>
      <c r="E91" s="127">
        <v>0</v>
      </c>
      <c r="F91" s="127">
        <v>1</v>
      </c>
      <c r="G91" s="130" t="s">
        <v>91</v>
      </c>
    </row>
    <row r="92" spans="2:7" x14ac:dyDescent="0.25">
      <c r="B92" s="126" t="s">
        <v>147</v>
      </c>
      <c r="C92" s="127">
        <v>10</v>
      </c>
      <c r="D92" s="127" t="s">
        <v>148</v>
      </c>
      <c r="E92" s="127">
        <v>3</v>
      </c>
      <c r="F92" s="127">
        <v>1</v>
      </c>
      <c r="G92" s="130" t="s">
        <v>88</v>
      </c>
    </row>
    <row r="93" spans="2:7" x14ac:dyDescent="0.25">
      <c r="B93" s="126" t="s">
        <v>147</v>
      </c>
      <c r="C93" s="127">
        <v>11</v>
      </c>
      <c r="D93" s="127" t="s">
        <v>88</v>
      </c>
      <c r="E93" s="127">
        <v>0</v>
      </c>
      <c r="F93" s="127">
        <v>2</v>
      </c>
      <c r="G93" s="130" t="s">
        <v>172</v>
      </c>
    </row>
    <row r="94" spans="2:7" x14ac:dyDescent="0.25">
      <c r="B94" s="126" t="s">
        <v>147</v>
      </c>
      <c r="C94" s="127">
        <v>11</v>
      </c>
      <c r="D94" s="127" t="s">
        <v>83</v>
      </c>
      <c r="E94" s="127">
        <v>0</v>
      </c>
      <c r="F94" s="127">
        <v>0</v>
      </c>
      <c r="G94" s="130" t="s">
        <v>90</v>
      </c>
    </row>
    <row r="95" spans="2:7" x14ac:dyDescent="0.25">
      <c r="B95" s="126" t="s">
        <v>147</v>
      </c>
      <c r="C95" s="127">
        <v>11</v>
      </c>
      <c r="D95" s="127" t="s">
        <v>92</v>
      </c>
      <c r="E95" s="127">
        <v>3</v>
      </c>
      <c r="F95" s="127">
        <v>0</v>
      </c>
      <c r="G95" s="130" t="s">
        <v>148</v>
      </c>
    </row>
    <row r="96" spans="2:7" x14ac:dyDescent="0.25">
      <c r="B96" s="126" t="s">
        <v>147</v>
      </c>
      <c r="C96" s="127">
        <v>11</v>
      </c>
      <c r="D96" s="127" t="s">
        <v>86</v>
      </c>
      <c r="E96" s="127">
        <v>3</v>
      </c>
      <c r="F96" s="127">
        <v>4</v>
      </c>
      <c r="G96" s="130" t="s">
        <v>161</v>
      </c>
    </row>
    <row r="97" spans="2:7" x14ac:dyDescent="0.25">
      <c r="B97" s="126" t="s">
        <v>147</v>
      </c>
      <c r="C97" s="127">
        <v>11</v>
      </c>
      <c r="D97" s="127" t="s">
        <v>84</v>
      </c>
      <c r="E97" s="127">
        <v>0</v>
      </c>
      <c r="F97" s="127">
        <v>4</v>
      </c>
      <c r="G97" s="130" t="s">
        <v>79</v>
      </c>
    </row>
    <row r="98" spans="2:7" x14ac:dyDescent="0.25">
      <c r="B98" s="126" t="s">
        <v>147</v>
      </c>
      <c r="C98" s="127">
        <v>11</v>
      </c>
      <c r="D98" s="127" t="s">
        <v>91</v>
      </c>
      <c r="E98" s="127">
        <v>2</v>
      </c>
      <c r="F98" s="127">
        <v>0</v>
      </c>
      <c r="G98" s="130" t="s">
        <v>93</v>
      </c>
    </row>
    <row r="99" spans="2:7" x14ac:dyDescent="0.25">
      <c r="B99" s="126" t="s">
        <v>147</v>
      </c>
      <c r="C99" s="127">
        <v>11</v>
      </c>
      <c r="D99" s="127" t="s">
        <v>87</v>
      </c>
      <c r="E99" s="127">
        <v>2</v>
      </c>
      <c r="F99" s="127">
        <v>0</v>
      </c>
      <c r="G99" s="130" t="s">
        <v>94</v>
      </c>
    </row>
    <row r="100" spans="2:7" x14ac:dyDescent="0.25">
      <c r="B100" s="126" t="s">
        <v>147</v>
      </c>
      <c r="C100" s="127">
        <v>11</v>
      </c>
      <c r="D100" s="127" t="s">
        <v>85</v>
      </c>
      <c r="E100" s="127">
        <v>2</v>
      </c>
      <c r="F100" s="127">
        <v>0</v>
      </c>
      <c r="G100" s="130" t="s">
        <v>173</v>
      </c>
    </row>
    <row r="101" spans="2:7" x14ac:dyDescent="0.25">
      <c r="B101" s="126" t="s">
        <v>147</v>
      </c>
      <c r="C101" s="127">
        <v>11</v>
      </c>
      <c r="D101" s="127" t="s">
        <v>80</v>
      </c>
      <c r="E101" s="127">
        <v>1</v>
      </c>
      <c r="F101" s="127">
        <v>0</v>
      </c>
      <c r="G101" s="130" t="s">
        <v>82</v>
      </c>
    </row>
    <row r="102" spans="2:7" x14ac:dyDescent="0.25">
      <c r="B102" s="126" t="s">
        <v>147</v>
      </c>
      <c r="C102" s="127">
        <v>12</v>
      </c>
      <c r="D102" s="127" t="s">
        <v>79</v>
      </c>
      <c r="E102" s="127">
        <v>4</v>
      </c>
      <c r="F102" s="127">
        <v>0</v>
      </c>
      <c r="G102" s="130" t="s">
        <v>86</v>
      </c>
    </row>
    <row r="103" spans="2:7" x14ac:dyDescent="0.25">
      <c r="B103" s="126" t="s">
        <v>147</v>
      </c>
      <c r="C103" s="127">
        <v>12</v>
      </c>
      <c r="D103" s="127" t="s">
        <v>93</v>
      </c>
      <c r="E103" s="127">
        <v>3</v>
      </c>
      <c r="F103" s="127">
        <v>2</v>
      </c>
      <c r="G103" s="130" t="s">
        <v>85</v>
      </c>
    </row>
    <row r="104" spans="2:7" x14ac:dyDescent="0.25">
      <c r="B104" s="126" t="s">
        <v>147</v>
      </c>
      <c r="C104" s="127">
        <v>12</v>
      </c>
      <c r="D104" s="127" t="s">
        <v>82</v>
      </c>
      <c r="E104" s="127">
        <v>1</v>
      </c>
      <c r="F104" s="127">
        <v>3</v>
      </c>
      <c r="G104" s="130" t="s">
        <v>84</v>
      </c>
    </row>
    <row r="105" spans="2:7" x14ac:dyDescent="0.25">
      <c r="B105" s="126" t="s">
        <v>147</v>
      </c>
      <c r="C105" s="127">
        <v>12</v>
      </c>
      <c r="D105" s="127" t="s">
        <v>90</v>
      </c>
      <c r="E105" s="127">
        <v>2</v>
      </c>
      <c r="F105" s="127">
        <v>2</v>
      </c>
      <c r="G105" s="130" t="s">
        <v>91</v>
      </c>
    </row>
    <row r="106" spans="2:7" x14ac:dyDescent="0.25">
      <c r="B106" s="126" t="s">
        <v>147</v>
      </c>
      <c r="C106" s="127">
        <v>12</v>
      </c>
      <c r="D106" s="127" t="s">
        <v>172</v>
      </c>
      <c r="E106" s="127">
        <v>1</v>
      </c>
      <c r="F106" s="127">
        <v>3</v>
      </c>
      <c r="G106" s="130" t="s">
        <v>83</v>
      </c>
    </row>
    <row r="107" spans="2:7" x14ac:dyDescent="0.25">
      <c r="B107" s="126" t="s">
        <v>147</v>
      </c>
      <c r="C107" s="127">
        <v>12</v>
      </c>
      <c r="D107" s="127" t="s">
        <v>148</v>
      </c>
      <c r="E107" s="127">
        <v>2</v>
      </c>
      <c r="F107" s="127">
        <v>2</v>
      </c>
      <c r="G107" s="130" t="s">
        <v>80</v>
      </c>
    </row>
    <row r="108" spans="2:7" x14ac:dyDescent="0.25">
      <c r="B108" s="126" t="s">
        <v>147</v>
      </c>
      <c r="C108" s="127">
        <v>12</v>
      </c>
      <c r="D108" s="127" t="s">
        <v>161</v>
      </c>
      <c r="E108" s="127">
        <v>1</v>
      </c>
      <c r="F108" s="127">
        <v>2</v>
      </c>
      <c r="G108" s="130" t="s">
        <v>88</v>
      </c>
    </row>
    <row r="109" spans="2:7" x14ac:dyDescent="0.25">
      <c r="B109" s="126" t="s">
        <v>147</v>
      </c>
      <c r="C109" s="127">
        <v>12</v>
      </c>
      <c r="D109" s="127" t="s">
        <v>173</v>
      </c>
      <c r="E109" s="127">
        <v>2</v>
      </c>
      <c r="F109" s="127">
        <v>0</v>
      </c>
      <c r="G109" s="130" t="s">
        <v>87</v>
      </c>
    </row>
    <row r="110" spans="2:7" x14ac:dyDescent="0.25">
      <c r="B110" s="126" t="s">
        <v>147</v>
      </c>
      <c r="C110" s="127">
        <v>12</v>
      </c>
      <c r="D110" s="127" t="s">
        <v>94</v>
      </c>
      <c r="E110" s="127">
        <v>0</v>
      </c>
      <c r="F110" s="127">
        <v>1</v>
      </c>
      <c r="G110" s="130" t="s">
        <v>92</v>
      </c>
    </row>
    <row r="111" spans="2:7" x14ac:dyDescent="0.25">
      <c r="B111" s="126" t="s">
        <v>147</v>
      </c>
      <c r="C111" s="127">
        <v>13</v>
      </c>
      <c r="D111" s="127" t="s">
        <v>91</v>
      </c>
      <c r="E111" s="127">
        <v>1</v>
      </c>
      <c r="F111" s="127">
        <v>4</v>
      </c>
      <c r="G111" s="130" t="s">
        <v>94</v>
      </c>
    </row>
    <row r="112" spans="2:7" x14ac:dyDescent="0.25">
      <c r="B112" s="126" t="s">
        <v>147</v>
      </c>
      <c r="C112" s="127">
        <v>13</v>
      </c>
      <c r="D112" s="127" t="s">
        <v>93</v>
      </c>
      <c r="E112" s="127">
        <v>4</v>
      </c>
      <c r="F112" s="127">
        <v>1</v>
      </c>
      <c r="G112" s="130" t="s">
        <v>90</v>
      </c>
    </row>
    <row r="113" spans="2:7" x14ac:dyDescent="0.25">
      <c r="B113" s="126" t="s">
        <v>147</v>
      </c>
      <c r="C113" s="127">
        <v>13</v>
      </c>
      <c r="D113" s="127" t="s">
        <v>83</v>
      </c>
      <c r="E113" s="127">
        <v>5</v>
      </c>
      <c r="F113" s="127">
        <v>1</v>
      </c>
      <c r="G113" s="130" t="s">
        <v>161</v>
      </c>
    </row>
    <row r="114" spans="2:7" x14ac:dyDescent="0.25">
      <c r="B114" s="126" t="s">
        <v>147</v>
      </c>
      <c r="C114" s="127">
        <v>13</v>
      </c>
      <c r="D114" s="127" t="s">
        <v>92</v>
      </c>
      <c r="E114" s="127">
        <v>3</v>
      </c>
      <c r="F114" s="127">
        <v>1</v>
      </c>
      <c r="G114" s="130" t="s">
        <v>173</v>
      </c>
    </row>
    <row r="115" spans="2:7" x14ac:dyDescent="0.25">
      <c r="B115" s="126" t="s">
        <v>147</v>
      </c>
      <c r="C115" s="127">
        <v>13</v>
      </c>
      <c r="D115" s="127" t="s">
        <v>88</v>
      </c>
      <c r="E115" s="127">
        <v>0</v>
      </c>
      <c r="F115" s="127">
        <v>1</v>
      </c>
      <c r="G115" s="130" t="s">
        <v>79</v>
      </c>
    </row>
    <row r="116" spans="2:7" x14ac:dyDescent="0.25">
      <c r="B116" s="126" t="s">
        <v>147</v>
      </c>
      <c r="C116" s="127">
        <v>13</v>
      </c>
      <c r="D116" s="127" t="s">
        <v>87</v>
      </c>
      <c r="E116" s="127">
        <v>4</v>
      </c>
      <c r="F116" s="127">
        <v>0</v>
      </c>
      <c r="G116" s="130" t="s">
        <v>148</v>
      </c>
    </row>
    <row r="117" spans="2:7" x14ac:dyDescent="0.25">
      <c r="B117" s="126" t="s">
        <v>147</v>
      </c>
      <c r="C117" s="127">
        <v>13</v>
      </c>
      <c r="D117" s="127" t="s">
        <v>86</v>
      </c>
      <c r="E117" s="127">
        <v>4</v>
      </c>
      <c r="F117" s="127">
        <v>3</v>
      </c>
      <c r="G117" s="130" t="s">
        <v>172</v>
      </c>
    </row>
    <row r="118" spans="2:7" x14ac:dyDescent="0.25">
      <c r="B118" s="126" t="s">
        <v>147</v>
      </c>
      <c r="C118" s="127">
        <v>13</v>
      </c>
      <c r="D118" s="127" t="s">
        <v>85</v>
      </c>
      <c r="E118" s="127">
        <v>1</v>
      </c>
      <c r="F118" s="127">
        <v>0</v>
      </c>
      <c r="G118" s="130" t="s">
        <v>82</v>
      </c>
    </row>
    <row r="119" spans="2:7" x14ac:dyDescent="0.25">
      <c r="B119" s="126" t="s">
        <v>147</v>
      </c>
      <c r="C119" s="127">
        <v>13</v>
      </c>
      <c r="D119" s="127" t="s">
        <v>84</v>
      </c>
      <c r="E119" s="127">
        <v>2</v>
      </c>
      <c r="F119" s="127">
        <v>0</v>
      </c>
      <c r="G119" s="130" t="s">
        <v>80</v>
      </c>
    </row>
    <row r="120" spans="2:7" x14ac:dyDescent="0.25">
      <c r="B120" s="126" t="s">
        <v>147</v>
      </c>
      <c r="C120" s="127">
        <v>14</v>
      </c>
      <c r="D120" s="127" t="s">
        <v>80</v>
      </c>
      <c r="E120" s="127">
        <v>1</v>
      </c>
      <c r="F120" s="127">
        <v>0</v>
      </c>
      <c r="G120" s="130" t="s">
        <v>86</v>
      </c>
    </row>
    <row r="121" spans="2:7" x14ac:dyDescent="0.25">
      <c r="B121" s="126" t="s">
        <v>147</v>
      </c>
      <c r="C121" s="127">
        <v>14</v>
      </c>
      <c r="D121" s="127" t="s">
        <v>82</v>
      </c>
      <c r="E121" s="127">
        <v>3</v>
      </c>
      <c r="F121" s="127">
        <v>2</v>
      </c>
      <c r="G121" s="130" t="s">
        <v>88</v>
      </c>
    </row>
    <row r="122" spans="2:7" x14ac:dyDescent="0.25">
      <c r="B122" s="126" t="s">
        <v>147</v>
      </c>
      <c r="C122" s="127">
        <v>14</v>
      </c>
      <c r="D122" s="127" t="s">
        <v>172</v>
      </c>
      <c r="E122" s="127">
        <v>1</v>
      </c>
      <c r="F122" s="127">
        <v>3</v>
      </c>
      <c r="G122" s="130" t="s">
        <v>85</v>
      </c>
    </row>
    <row r="123" spans="2:7" x14ac:dyDescent="0.25">
      <c r="B123" s="126" t="s">
        <v>147</v>
      </c>
      <c r="C123" s="127">
        <v>14</v>
      </c>
      <c r="D123" s="127" t="s">
        <v>94</v>
      </c>
      <c r="E123" s="127">
        <v>0</v>
      </c>
      <c r="F123" s="127">
        <v>4</v>
      </c>
      <c r="G123" s="130" t="s">
        <v>93</v>
      </c>
    </row>
    <row r="124" spans="2:7" x14ac:dyDescent="0.25">
      <c r="B124" s="126" t="s">
        <v>147</v>
      </c>
      <c r="C124" s="127">
        <v>14</v>
      </c>
      <c r="D124" s="127" t="s">
        <v>161</v>
      </c>
      <c r="E124" s="127">
        <v>1</v>
      </c>
      <c r="F124" s="127">
        <v>2</v>
      </c>
      <c r="G124" s="130" t="s">
        <v>92</v>
      </c>
    </row>
    <row r="125" spans="2:7" x14ac:dyDescent="0.25">
      <c r="B125" s="126" t="s">
        <v>147</v>
      </c>
      <c r="C125" s="127">
        <v>14</v>
      </c>
      <c r="D125" s="127" t="s">
        <v>148</v>
      </c>
      <c r="E125" s="127">
        <v>1</v>
      </c>
      <c r="F125" s="127">
        <v>1</v>
      </c>
      <c r="G125" s="130" t="s">
        <v>91</v>
      </c>
    </row>
    <row r="126" spans="2:7" x14ac:dyDescent="0.25">
      <c r="B126" s="126" t="s">
        <v>147</v>
      </c>
      <c r="C126" s="127">
        <v>14</v>
      </c>
      <c r="D126" s="127" t="s">
        <v>79</v>
      </c>
      <c r="E126" s="127">
        <v>1</v>
      </c>
      <c r="F126" s="127">
        <v>0</v>
      </c>
      <c r="G126" s="130" t="s">
        <v>83</v>
      </c>
    </row>
    <row r="127" spans="2:7" x14ac:dyDescent="0.25">
      <c r="B127" s="126" t="s">
        <v>147</v>
      </c>
      <c r="C127" s="127">
        <v>14</v>
      </c>
      <c r="D127" s="127" t="s">
        <v>173</v>
      </c>
      <c r="E127" s="127">
        <v>2</v>
      </c>
      <c r="F127" s="127">
        <v>1</v>
      </c>
      <c r="G127" s="130" t="s">
        <v>90</v>
      </c>
    </row>
    <row r="128" spans="2:7" x14ac:dyDescent="0.25">
      <c r="B128" s="126" t="s">
        <v>147</v>
      </c>
      <c r="C128" s="127">
        <v>14</v>
      </c>
      <c r="D128" s="127" t="s">
        <v>84</v>
      </c>
      <c r="E128" s="127">
        <v>5</v>
      </c>
      <c r="F128" s="127">
        <v>2</v>
      </c>
      <c r="G128" s="130" t="s">
        <v>87</v>
      </c>
    </row>
    <row r="129" spans="2:7" x14ac:dyDescent="0.25">
      <c r="B129" s="126" t="s">
        <v>147</v>
      </c>
      <c r="C129" s="127">
        <v>15</v>
      </c>
      <c r="D129" s="127" t="s">
        <v>86</v>
      </c>
      <c r="E129" s="127">
        <v>3</v>
      </c>
      <c r="F129" s="127">
        <v>2</v>
      </c>
      <c r="G129" s="130" t="s">
        <v>84</v>
      </c>
    </row>
    <row r="130" spans="2:7" x14ac:dyDescent="0.25">
      <c r="B130" s="126" t="s">
        <v>147</v>
      </c>
      <c r="C130" s="127">
        <v>15</v>
      </c>
      <c r="D130" s="127" t="s">
        <v>93</v>
      </c>
      <c r="E130" s="127">
        <v>1</v>
      </c>
      <c r="F130" s="127">
        <v>2</v>
      </c>
      <c r="G130" s="130" t="s">
        <v>161</v>
      </c>
    </row>
    <row r="131" spans="2:7" x14ac:dyDescent="0.25">
      <c r="B131" s="126" t="s">
        <v>147</v>
      </c>
      <c r="C131" s="127">
        <v>15</v>
      </c>
      <c r="D131" s="127" t="s">
        <v>92</v>
      </c>
      <c r="E131" s="127">
        <v>0</v>
      </c>
      <c r="F131" s="127">
        <v>4</v>
      </c>
      <c r="G131" s="130" t="s">
        <v>79</v>
      </c>
    </row>
    <row r="132" spans="2:7" x14ac:dyDescent="0.25">
      <c r="B132" s="126" t="s">
        <v>147</v>
      </c>
      <c r="C132" s="127">
        <v>15</v>
      </c>
      <c r="D132" s="127" t="s">
        <v>88</v>
      </c>
      <c r="E132" s="127">
        <v>1</v>
      </c>
      <c r="F132" s="127">
        <v>0</v>
      </c>
      <c r="G132" s="130" t="s">
        <v>80</v>
      </c>
    </row>
    <row r="133" spans="2:7" x14ac:dyDescent="0.25">
      <c r="B133" s="126" t="s">
        <v>147</v>
      </c>
      <c r="C133" s="127">
        <v>15</v>
      </c>
      <c r="D133" s="127" t="s">
        <v>87</v>
      </c>
      <c r="E133" s="127">
        <v>3</v>
      </c>
      <c r="F133" s="127">
        <v>3</v>
      </c>
      <c r="G133" s="130" t="s">
        <v>172</v>
      </c>
    </row>
    <row r="134" spans="2:7" x14ac:dyDescent="0.25">
      <c r="B134" s="126" t="s">
        <v>147</v>
      </c>
      <c r="C134" s="127">
        <v>15</v>
      </c>
      <c r="D134" s="127" t="s">
        <v>91</v>
      </c>
      <c r="E134" s="127">
        <v>0</v>
      </c>
      <c r="F134" s="127">
        <v>0</v>
      </c>
      <c r="G134" s="130" t="s">
        <v>173</v>
      </c>
    </row>
    <row r="135" spans="2:7" x14ac:dyDescent="0.25">
      <c r="B135" s="126" t="s">
        <v>147</v>
      </c>
      <c r="C135" s="127">
        <v>15</v>
      </c>
      <c r="D135" s="127" t="s">
        <v>90</v>
      </c>
      <c r="E135" s="127">
        <v>1</v>
      </c>
      <c r="F135" s="127">
        <v>1</v>
      </c>
      <c r="G135" s="130" t="s">
        <v>94</v>
      </c>
    </row>
    <row r="136" spans="2:7" x14ac:dyDescent="0.25">
      <c r="B136" s="126" t="s">
        <v>147</v>
      </c>
      <c r="C136" s="127">
        <v>15</v>
      </c>
      <c r="D136" s="127" t="s">
        <v>83</v>
      </c>
      <c r="E136" s="127">
        <v>1</v>
      </c>
      <c r="F136" s="127">
        <v>1</v>
      </c>
      <c r="G136" s="130" t="s">
        <v>82</v>
      </c>
    </row>
    <row r="137" spans="2:7" x14ac:dyDescent="0.25">
      <c r="B137" s="126" t="s">
        <v>147</v>
      </c>
      <c r="C137" s="127">
        <v>15</v>
      </c>
      <c r="D137" s="127" t="s">
        <v>85</v>
      </c>
      <c r="E137" s="127">
        <v>1</v>
      </c>
      <c r="F137" s="127">
        <v>1</v>
      </c>
      <c r="G137" s="130" t="s">
        <v>148</v>
      </c>
    </row>
    <row r="138" spans="2:7" x14ac:dyDescent="0.25">
      <c r="B138" s="126" t="s">
        <v>147</v>
      </c>
      <c r="C138" s="127">
        <v>16</v>
      </c>
      <c r="D138" s="127" t="s">
        <v>79</v>
      </c>
      <c r="E138" s="127">
        <v>2</v>
      </c>
      <c r="F138" s="127">
        <v>0</v>
      </c>
      <c r="G138" s="130" t="s">
        <v>91</v>
      </c>
    </row>
    <row r="139" spans="2:7" x14ac:dyDescent="0.25">
      <c r="B139" s="126" t="s">
        <v>147</v>
      </c>
      <c r="C139" s="127">
        <v>16</v>
      </c>
      <c r="D139" s="127" t="s">
        <v>172</v>
      </c>
      <c r="E139" s="127">
        <v>2</v>
      </c>
      <c r="F139" s="127">
        <v>0</v>
      </c>
      <c r="G139" s="130" t="s">
        <v>92</v>
      </c>
    </row>
    <row r="140" spans="2:7" x14ac:dyDescent="0.25">
      <c r="B140" s="126" t="s">
        <v>147</v>
      </c>
      <c r="C140" s="127">
        <v>16</v>
      </c>
      <c r="D140" s="127" t="s">
        <v>173</v>
      </c>
      <c r="E140" s="127">
        <v>0</v>
      </c>
      <c r="F140" s="127">
        <v>1</v>
      </c>
      <c r="G140" s="130" t="s">
        <v>94</v>
      </c>
    </row>
    <row r="141" spans="2:7" x14ac:dyDescent="0.25">
      <c r="B141" s="126" t="s">
        <v>147</v>
      </c>
      <c r="C141" s="127">
        <v>16</v>
      </c>
      <c r="D141" s="127" t="s">
        <v>161</v>
      </c>
      <c r="E141" s="127">
        <v>0</v>
      </c>
      <c r="F141" s="127">
        <v>0</v>
      </c>
      <c r="G141" s="130" t="s">
        <v>90</v>
      </c>
    </row>
    <row r="142" spans="2:7" x14ac:dyDescent="0.25">
      <c r="B142" s="126" t="s">
        <v>147</v>
      </c>
      <c r="C142" s="127">
        <v>16</v>
      </c>
      <c r="D142" s="127" t="s">
        <v>80</v>
      </c>
      <c r="E142" s="127">
        <v>2</v>
      </c>
      <c r="F142" s="127">
        <v>2</v>
      </c>
      <c r="G142" s="130" t="s">
        <v>85</v>
      </c>
    </row>
    <row r="143" spans="2:7" x14ac:dyDescent="0.25">
      <c r="B143" s="126" t="s">
        <v>147</v>
      </c>
      <c r="C143" s="127">
        <v>16</v>
      </c>
      <c r="D143" s="127" t="s">
        <v>82</v>
      </c>
      <c r="E143" s="127">
        <v>4</v>
      </c>
      <c r="F143" s="127">
        <v>1</v>
      </c>
      <c r="G143" s="130" t="s">
        <v>87</v>
      </c>
    </row>
    <row r="144" spans="2:7" x14ac:dyDescent="0.25">
      <c r="B144" s="126" t="s">
        <v>147</v>
      </c>
      <c r="C144" s="127">
        <v>16</v>
      </c>
      <c r="D144" s="127" t="s">
        <v>86</v>
      </c>
      <c r="E144" s="127">
        <v>0</v>
      </c>
      <c r="F144" s="127">
        <v>1</v>
      </c>
      <c r="G144" s="130" t="s">
        <v>83</v>
      </c>
    </row>
    <row r="145" spans="2:7" x14ac:dyDescent="0.25">
      <c r="B145" s="126" t="s">
        <v>147</v>
      </c>
      <c r="C145" s="127">
        <v>16</v>
      </c>
      <c r="D145" s="127" t="s">
        <v>84</v>
      </c>
      <c r="E145" s="127">
        <v>4</v>
      </c>
      <c r="F145" s="127">
        <v>4</v>
      </c>
      <c r="G145" s="130" t="s">
        <v>88</v>
      </c>
    </row>
    <row r="146" spans="2:7" x14ac:dyDescent="0.25">
      <c r="B146" s="126" t="s">
        <v>147</v>
      </c>
      <c r="C146" s="127">
        <v>16</v>
      </c>
      <c r="D146" s="127" t="s">
        <v>148</v>
      </c>
      <c r="E146" s="127">
        <v>1</v>
      </c>
      <c r="F146" s="127">
        <v>2</v>
      </c>
      <c r="G146" s="130" t="s">
        <v>93</v>
      </c>
    </row>
    <row r="147" spans="2:7" x14ac:dyDescent="0.25">
      <c r="B147" s="126" t="s">
        <v>147</v>
      </c>
      <c r="C147" s="127">
        <v>17</v>
      </c>
      <c r="D147" s="127" t="s">
        <v>90</v>
      </c>
      <c r="E147" s="127">
        <v>1</v>
      </c>
      <c r="F147" s="127">
        <v>2</v>
      </c>
      <c r="G147" s="130" t="s">
        <v>79</v>
      </c>
    </row>
    <row r="148" spans="2:7" x14ac:dyDescent="0.25">
      <c r="B148" s="126" t="s">
        <v>147</v>
      </c>
      <c r="C148" s="127">
        <v>17</v>
      </c>
      <c r="D148" s="127" t="s">
        <v>93</v>
      </c>
      <c r="E148" s="127">
        <v>0</v>
      </c>
      <c r="F148" s="127">
        <v>0</v>
      </c>
      <c r="G148" s="130" t="s">
        <v>173</v>
      </c>
    </row>
    <row r="149" spans="2:7" x14ac:dyDescent="0.25">
      <c r="B149" s="126" t="s">
        <v>147</v>
      </c>
      <c r="C149" s="127">
        <v>17</v>
      </c>
      <c r="D149" s="127" t="s">
        <v>83</v>
      </c>
      <c r="E149" s="127">
        <v>1</v>
      </c>
      <c r="F149" s="127">
        <v>1</v>
      </c>
      <c r="G149" s="130" t="s">
        <v>84</v>
      </c>
    </row>
    <row r="150" spans="2:7" x14ac:dyDescent="0.25">
      <c r="B150" s="126" t="s">
        <v>147</v>
      </c>
      <c r="C150" s="127">
        <v>17</v>
      </c>
      <c r="D150" s="127" t="s">
        <v>92</v>
      </c>
      <c r="E150" s="127">
        <v>2</v>
      </c>
      <c r="F150" s="127">
        <v>1</v>
      </c>
      <c r="G150" s="130" t="s">
        <v>82</v>
      </c>
    </row>
    <row r="151" spans="2:7" x14ac:dyDescent="0.25">
      <c r="B151" s="126" t="s">
        <v>147</v>
      </c>
      <c r="C151" s="127">
        <v>17</v>
      </c>
      <c r="D151" s="127" t="s">
        <v>87</v>
      </c>
      <c r="E151" s="127">
        <v>2</v>
      </c>
      <c r="F151" s="127">
        <v>1</v>
      </c>
      <c r="G151" s="130" t="s">
        <v>80</v>
      </c>
    </row>
    <row r="152" spans="2:7" x14ac:dyDescent="0.25">
      <c r="B152" s="126" t="s">
        <v>147</v>
      </c>
      <c r="C152" s="127">
        <v>17</v>
      </c>
      <c r="D152" s="127" t="s">
        <v>94</v>
      </c>
      <c r="E152" s="127">
        <v>0</v>
      </c>
      <c r="F152" s="127">
        <v>0</v>
      </c>
      <c r="G152" s="130" t="s">
        <v>148</v>
      </c>
    </row>
    <row r="153" spans="2:7" x14ac:dyDescent="0.25">
      <c r="B153" s="126" t="s">
        <v>147</v>
      </c>
      <c r="C153" s="127">
        <v>17</v>
      </c>
      <c r="D153" s="127" t="s">
        <v>85</v>
      </c>
      <c r="E153" s="127">
        <v>2</v>
      </c>
      <c r="F153" s="127">
        <v>1</v>
      </c>
      <c r="G153" s="130" t="s">
        <v>161</v>
      </c>
    </row>
    <row r="154" spans="2:7" x14ac:dyDescent="0.25">
      <c r="B154" s="126" t="s">
        <v>147</v>
      </c>
      <c r="C154" s="127">
        <v>17</v>
      </c>
      <c r="D154" s="127" t="s">
        <v>88</v>
      </c>
      <c r="E154" s="127">
        <v>0</v>
      </c>
      <c r="F154" s="127">
        <v>5</v>
      </c>
      <c r="G154" s="130" t="s">
        <v>86</v>
      </c>
    </row>
    <row r="155" spans="2:7" x14ac:dyDescent="0.25">
      <c r="B155" s="126" t="s">
        <v>147</v>
      </c>
      <c r="C155" s="127">
        <v>17</v>
      </c>
      <c r="D155" s="127" t="s">
        <v>91</v>
      </c>
      <c r="E155" s="127">
        <v>2</v>
      </c>
      <c r="F155" s="127">
        <v>2</v>
      </c>
      <c r="G155" s="130" t="s">
        <v>172</v>
      </c>
    </row>
    <row r="156" spans="2:7" x14ac:dyDescent="0.25">
      <c r="B156" s="126" t="s">
        <v>147</v>
      </c>
      <c r="C156" s="127">
        <v>18</v>
      </c>
      <c r="D156" s="127" t="s">
        <v>85</v>
      </c>
      <c r="E156" s="127">
        <v>4</v>
      </c>
      <c r="F156" s="127">
        <v>1</v>
      </c>
      <c r="G156" s="130" t="s">
        <v>79</v>
      </c>
    </row>
    <row r="157" spans="2:7" x14ac:dyDescent="0.25">
      <c r="B157" s="126" t="s">
        <v>147</v>
      </c>
      <c r="C157" s="127">
        <v>18</v>
      </c>
      <c r="D157" s="127" t="s">
        <v>94</v>
      </c>
      <c r="E157" s="127">
        <v>0</v>
      </c>
      <c r="F157" s="127">
        <v>1</v>
      </c>
      <c r="G157" s="130" t="s">
        <v>82</v>
      </c>
    </row>
    <row r="158" spans="2:7" x14ac:dyDescent="0.25">
      <c r="B158" s="126" t="s">
        <v>147</v>
      </c>
      <c r="C158" s="127">
        <v>18</v>
      </c>
      <c r="D158" s="127" t="s">
        <v>93</v>
      </c>
      <c r="E158" s="127">
        <v>1</v>
      </c>
      <c r="F158" s="127">
        <v>0</v>
      </c>
      <c r="G158" s="130" t="s">
        <v>172</v>
      </c>
    </row>
    <row r="159" spans="2:7" x14ac:dyDescent="0.25">
      <c r="B159" s="126" t="s">
        <v>147</v>
      </c>
      <c r="C159" s="127">
        <v>18</v>
      </c>
      <c r="D159" s="127" t="s">
        <v>91</v>
      </c>
      <c r="E159" s="127">
        <v>4</v>
      </c>
      <c r="F159" s="127">
        <v>1</v>
      </c>
      <c r="G159" s="130" t="s">
        <v>84</v>
      </c>
    </row>
    <row r="160" spans="2:7" x14ac:dyDescent="0.25">
      <c r="B160" s="126" t="s">
        <v>147</v>
      </c>
      <c r="C160" s="127">
        <v>18</v>
      </c>
      <c r="D160" s="127" t="s">
        <v>173</v>
      </c>
      <c r="E160" s="127">
        <v>0</v>
      </c>
      <c r="F160" s="127">
        <v>2</v>
      </c>
      <c r="G160" s="130" t="s">
        <v>161</v>
      </c>
    </row>
    <row r="161" spans="2:7" x14ac:dyDescent="0.25">
      <c r="B161" s="126" t="s">
        <v>147</v>
      </c>
      <c r="C161" s="127">
        <v>18</v>
      </c>
      <c r="D161" s="127" t="s">
        <v>90</v>
      </c>
      <c r="E161" s="127">
        <v>5</v>
      </c>
      <c r="F161" s="127">
        <v>0</v>
      </c>
      <c r="G161" s="130" t="s">
        <v>148</v>
      </c>
    </row>
    <row r="162" spans="2:7" x14ac:dyDescent="0.25">
      <c r="B162" s="126" t="s">
        <v>147</v>
      </c>
      <c r="C162" s="127">
        <v>18</v>
      </c>
      <c r="D162" s="127" t="s">
        <v>83</v>
      </c>
      <c r="E162" s="127">
        <v>0</v>
      </c>
      <c r="F162" s="127">
        <v>0</v>
      </c>
      <c r="G162" s="130" t="s">
        <v>80</v>
      </c>
    </row>
    <row r="163" spans="2:7" x14ac:dyDescent="0.25">
      <c r="B163" s="126" t="s">
        <v>147</v>
      </c>
      <c r="C163" s="127">
        <v>18</v>
      </c>
      <c r="D163" s="127" t="s">
        <v>87</v>
      </c>
      <c r="E163" s="127">
        <v>2</v>
      </c>
      <c r="F163" s="127">
        <v>0</v>
      </c>
      <c r="G163" s="130" t="s">
        <v>88</v>
      </c>
    </row>
    <row r="164" spans="2:7" x14ac:dyDescent="0.25">
      <c r="B164" s="126" t="s">
        <v>147</v>
      </c>
      <c r="C164" s="127">
        <v>18</v>
      </c>
      <c r="D164" s="127" t="s">
        <v>92</v>
      </c>
      <c r="E164" s="127">
        <v>3</v>
      </c>
      <c r="F164" s="127">
        <v>1</v>
      </c>
      <c r="G164" s="130" t="s">
        <v>86</v>
      </c>
    </row>
    <row r="165" spans="2:7" x14ac:dyDescent="0.25">
      <c r="B165" s="126" t="s">
        <v>147</v>
      </c>
      <c r="C165" s="127">
        <v>19</v>
      </c>
      <c r="D165" s="127" t="s">
        <v>79</v>
      </c>
      <c r="E165" s="127">
        <v>1</v>
      </c>
      <c r="F165" s="127">
        <v>1</v>
      </c>
      <c r="G165" s="130" t="s">
        <v>93</v>
      </c>
    </row>
    <row r="166" spans="2:7" x14ac:dyDescent="0.25">
      <c r="B166" s="126" t="s">
        <v>147</v>
      </c>
      <c r="C166" s="127">
        <v>19</v>
      </c>
      <c r="D166" s="127" t="s">
        <v>84</v>
      </c>
      <c r="E166" s="127">
        <v>1</v>
      </c>
      <c r="F166" s="127">
        <v>1</v>
      </c>
      <c r="G166" s="130" t="s">
        <v>85</v>
      </c>
    </row>
    <row r="167" spans="2:7" x14ac:dyDescent="0.25">
      <c r="B167" s="126" t="s">
        <v>147</v>
      </c>
      <c r="C167" s="127">
        <v>19</v>
      </c>
      <c r="D167" s="127" t="s">
        <v>172</v>
      </c>
      <c r="E167" s="127">
        <v>1</v>
      </c>
      <c r="F167" s="127">
        <v>1</v>
      </c>
      <c r="G167" s="130" t="s">
        <v>90</v>
      </c>
    </row>
    <row r="168" spans="2:7" x14ac:dyDescent="0.25">
      <c r="B168" s="126" t="s">
        <v>147</v>
      </c>
      <c r="C168" s="127">
        <v>19</v>
      </c>
      <c r="D168" s="127" t="s">
        <v>82</v>
      </c>
      <c r="E168" s="127">
        <v>1</v>
      </c>
      <c r="F168" s="127">
        <v>0</v>
      </c>
      <c r="G168" s="130" t="s">
        <v>91</v>
      </c>
    </row>
    <row r="169" spans="2:7" x14ac:dyDescent="0.25">
      <c r="B169" s="126" t="s">
        <v>147</v>
      </c>
      <c r="C169" s="127">
        <v>19</v>
      </c>
      <c r="D169" s="127" t="s">
        <v>88</v>
      </c>
      <c r="E169" s="127">
        <v>0</v>
      </c>
      <c r="F169" s="127">
        <v>1</v>
      </c>
      <c r="G169" s="130" t="s">
        <v>83</v>
      </c>
    </row>
    <row r="170" spans="2:7" x14ac:dyDescent="0.25">
      <c r="B170" s="126" t="s">
        <v>147</v>
      </c>
      <c r="C170" s="127">
        <v>19</v>
      </c>
      <c r="D170" s="127" t="s">
        <v>80</v>
      </c>
      <c r="E170" s="127">
        <v>0</v>
      </c>
      <c r="F170" s="127">
        <v>1</v>
      </c>
      <c r="G170" s="130" t="s">
        <v>92</v>
      </c>
    </row>
    <row r="171" spans="2:7" x14ac:dyDescent="0.25">
      <c r="B171" s="126" t="s">
        <v>147</v>
      </c>
      <c r="C171" s="127">
        <v>19</v>
      </c>
      <c r="D171" s="127" t="s">
        <v>86</v>
      </c>
      <c r="E171" s="127">
        <v>1</v>
      </c>
      <c r="F171" s="127">
        <v>2</v>
      </c>
      <c r="G171" s="130" t="s">
        <v>87</v>
      </c>
    </row>
    <row r="172" spans="2:7" x14ac:dyDescent="0.25">
      <c r="B172" s="126" t="s">
        <v>147</v>
      </c>
      <c r="C172" s="127">
        <v>19</v>
      </c>
      <c r="D172" s="127" t="s">
        <v>161</v>
      </c>
      <c r="E172" s="127">
        <v>0</v>
      </c>
      <c r="F172" s="127">
        <v>0</v>
      </c>
      <c r="G172" s="130" t="s">
        <v>94</v>
      </c>
    </row>
    <row r="173" spans="2:7" x14ac:dyDescent="0.25">
      <c r="B173" s="126" t="s">
        <v>147</v>
      </c>
      <c r="C173" s="127">
        <v>19</v>
      </c>
      <c r="D173" s="127" t="s">
        <v>148</v>
      </c>
      <c r="E173" s="127">
        <v>0</v>
      </c>
      <c r="F173" s="127">
        <v>3</v>
      </c>
      <c r="G173" s="130" t="s">
        <v>173</v>
      </c>
    </row>
    <row r="174" spans="2:7" x14ac:dyDescent="0.25">
      <c r="B174" s="126" t="s">
        <v>147</v>
      </c>
      <c r="C174" s="127">
        <v>20</v>
      </c>
      <c r="D174" s="127" t="s">
        <v>93</v>
      </c>
      <c r="E174" s="127">
        <v>1</v>
      </c>
      <c r="F174" s="127">
        <v>0</v>
      </c>
      <c r="G174" s="130" t="s">
        <v>82</v>
      </c>
    </row>
    <row r="175" spans="2:7" x14ac:dyDescent="0.25">
      <c r="B175" s="126" t="s">
        <v>147</v>
      </c>
      <c r="C175" s="127">
        <v>20</v>
      </c>
      <c r="D175" s="127" t="s">
        <v>94</v>
      </c>
      <c r="E175" s="127">
        <v>0</v>
      </c>
      <c r="F175" s="127">
        <v>2</v>
      </c>
      <c r="G175" s="130" t="s">
        <v>79</v>
      </c>
    </row>
    <row r="176" spans="2:7" x14ac:dyDescent="0.25">
      <c r="B176" s="126" t="s">
        <v>147</v>
      </c>
      <c r="C176" s="127">
        <v>20</v>
      </c>
      <c r="D176" s="127" t="s">
        <v>91</v>
      </c>
      <c r="E176" s="127">
        <v>0</v>
      </c>
      <c r="F176" s="127">
        <v>3</v>
      </c>
      <c r="G176" s="130" t="s">
        <v>80</v>
      </c>
    </row>
    <row r="177" spans="2:7" x14ac:dyDescent="0.25">
      <c r="B177" s="126" t="s">
        <v>147</v>
      </c>
      <c r="C177" s="127">
        <v>20</v>
      </c>
      <c r="D177" s="127" t="s">
        <v>85</v>
      </c>
      <c r="E177" s="127">
        <v>3</v>
      </c>
      <c r="F177" s="127">
        <v>0</v>
      </c>
      <c r="G177" s="130" t="s">
        <v>86</v>
      </c>
    </row>
    <row r="178" spans="2:7" x14ac:dyDescent="0.25">
      <c r="B178" s="126" t="s">
        <v>147</v>
      </c>
      <c r="C178" s="127">
        <v>20</v>
      </c>
      <c r="D178" s="127" t="s">
        <v>90</v>
      </c>
      <c r="E178" s="127">
        <v>0</v>
      </c>
      <c r="F178" s="127">
        <v>2</v>
      </c>
      <c r="G178" s="130" t="s">
        <v>88</v>
      </c>
    </row>
    <row r="179" spans="2:7" x14ac:dyDescent="0.25">
      <c r="B179" s="126" t="s">
        <v>147</v>
      </c>
      <c r="C179" s="127">
        <v>20</v>
      </c>
      <c r="D179" s="127" t="s">
        <v>161</v>
      </c>
      <c r="E179" s="127">
        <v>0</v>
      </c>
      <c r="F179" s="127">
        <v>0</v>
      </c>
      <c r="G179" s="130" t="s">
        <v>148</v>
      </c>
    </row>
    <row r="180" spans="2:7" x14ac:dyDescent="0.25">
      <c r="B180" s="126" t="s">
        <v>147</v>
      </c>
      <c r="C180" s="127">
        <v>20</v>
      </c>
      <c r="D180" s="127" t="s">
        <v>173</v>
      </c>
      <c r="E180" s="127">
        <v>2</v>
      </c>
      <c r="F180" s="127">
        <v>1</v>
      </c>
      <c r="G180" s="130" t="s">
        <v>172</v>
      </c>
    </row>
    <row r="181" spans="2:7" x14ac:dyDescent="0.25">
      <c r="B181" s="126" t="s">
        <v>147</v>
      </c>
      <c r="C181" s="127">
        <v>20</v>
      </c>
      <c r="D181" s="127" t="s">
        <v>87</v>
      </c>
      <c r="E181" s="127">
        <v>2</v>
      </c>
      <c r="F181" s="127">
        <v>1</v>
      </c>
      <c r="G181" s="130" t="s">
        <v>83</v>
      </c>
    </row>
    <row r="182" spans="2:7" x14ac:dyDescent="0.25">
      <c r="B182" s="126" t="s">
        <v>147</v>
      </c>
      <c r="C182" s="127">
        <v>20</v>
      </c>
      <c r="D182" s="127" t="s">
        <v>92</v>
      </c>
      <c r="E182" s="127">
        <v>2</v>
      </c>
      <c r="F182" s="127">
        <v>2</v>
      </c>
      <c r="G182" s="130" t="s">
        <v>84</v>
      </c>
    </row>
    <row r="183" spans="2:7" x14ac:dyDescent="0.25">
      <c r="B183" s="126" t="s">
        <v>147</v>
      </c>
      <c r="C183" s="127">
        <v>21</v>
      </c>
      <c r="D183" s="127" t="s">
        <v>80</v>
      </c>
      <c r="E183" s="127">
        <v>4</v>
      </c>
      <c r="F183" s="127">
        <v>2</v>
      </c>
      <c r="G183" s="130" t="s">
        <v>90</v>
      </c>
    </row>
    <row r="184" spans="2:7" x14ac:dyDescent="0.25">
      <c r="B184" s="126" t="s">
        <v>147</v>
      </c>
      <c r="C184" s="127">
        <v>21</v>
      </c>
      <c r="D184" s="127" t="s">
        <v>83</v>
      </c>
      <c r="E184" s="127">
        <v>4</v>
      </c>
      <c r="F184" s="127">
        <v>5</v>
      </c>
      <c r="G184" s="130" t="s">
        <v>85</v>
      </c>
    </row>
    <row r="185" spans="2:7" x14ac:dyDescent="0.25">
      <c r="B185" s="126" t="s">
        <v>147</v>
      </c>
      <c r="C185" s="127">
        <v>21</v>
      </c>
      <c r="D185" s="127" t="s">
        <v>87</v>
      </c>
      <c r="E185" s="127">
        <v>3</v>
      </c>
      <c r="F185" s="127">
        <v>2</v>
      </c>
      <c r="G185" s="130" t="s">
        <v>92</v>
      </c>
    </row>
    <row r="186" spans="2:7" x14ac:dyDescent="0.25">
      <c r="B186" s="126" t="s">
        <v>147</v>
      </c>
      <c r="C186" s="127">
        <v>21</v>
      </c>
      <c r="D186" s="127" t="s">
        <v>86</v>
      </c>
      <c r="E186" s="127">
        <v>2</v>
      </c>
      <c r="F186" s="127">
        <v>1</v>
      </c>
      <c r="G186" s="130" t="s">
        <v>94</v>
      </c>
    </row>
    <row r="187" spans="2:7" x14ac:dyDescent="0.25">
      <c r="B187" s="126" t="s">
        <v>147</v>
      </c>
      <c r="C187" s="127">
        <v>21</v>
      </c>
      <c r="D187" s="127" t="s">
        <v>79</v>
      </c>
      <c r="E187" s="127">
        <v>8</v>
      </c>
      <c r="F187" s="127">
        <v>0</v>
      </c>
      <c r="G187" s="130" t="s">
        <v>173</v>
      </c>
    </row>
    <row r="188" spans="2:7" x14ac:dyDescent="0.25">
      <c r="B188" s="126" t="s">
        <v>147</v>
      </c>
      <c r="C188" s="127">
        <v>21</v>
      </c>
      <c r="D188" s="127" t="s">
        <v>82</v>
      </c>
      <c r="E188" s="127">
        <v>1</v>
      </c>
      <c r="F188" s="127">
        <v>0</v>
      </c>
      <c r="G188" s="130" t="s">
        <v>161</v>
      </c>
    </row>
    <row r="189" spans="2:7" x14ac:dyDescent="0.25">
      <c r="B189" s="126" t="s">
        <v>147</v>
      </c>
      <c r="C189" s="127">
        <v>21</v>
      </c>
      <c r="D189" s="127" t="s">
        <v>84</v>
      </c>
      <c r="E189" s="127">
        <v>1</v>
      </c>
      <c r="F189" s="127">
        <v>0</v>
      </c>
      <c r="G189" s="130" t="s">
        <v>93</v>
      </c>
    </row>
    <row r="190" spans="2:7" x14ac:dyDescent="0.25">
      <c r="B190" s="126" t="s">
        <v>147</v>
      </c>
      <c r="C190" s="127">
        <v>21</v>
      </c>
      <c r="D190" s="127" t="s">
        <v>88</v>
      </c>
      <c r="E190" s="127">
        <v>0</v>
      </c>
      <c r="F190" s="127">
        <v>2</v>
      </c>
      <c r="G190" s="130" t="s">
        <v>91</v>
      </c>
    </row>
    <row r="191" spans="2:7" x14ac:dyDescent="0.25">
      <c r="B191" s="126" t="s">
        <v>147</v>
      </c>
      <c r="C191" s="127">
        <v>21</v>
      </c>
      <c r="D191" s="127" t="s">
        <v>172</v>
      </c>
      <c r="E191" s="127">
        <v>1</v>
      </c>
      <c r="F191" s="127">
        <v>2</v>
      </c>
      <c r="G191" s="130" t="s">
        <v>148</v>
      </c>
    </row>
    <row r="192" spans="2:7" x14ac:dyDescent="0.25">
      <c r="B192" s="126" t="s">
        <v>147</v>
      </c>
      <c r="C192" s="127">
        <v>22</v>
      </c>
      <c r="D192" s="127" t="s">
        <v>94</v>
      </c>
      <c r="E192" s="127">
        <v>2</v>
      </c>
      <c r="F192" s="127">
        <v>3</v>
      </c>
      <c r="G192" s="130" t="s">
        <v>80</v>
      </c>
    </row>
    <row r="193" spans="2:7" x14ac:dyDescent="0.25">
      <c r="B193" s="126" t="s">
        <v>147</v>
      </c>
      <c r="C193" s="127">
        <v>22</v>
      </c>
      <c r="D193" s="127" t="s">
        <v>148</v>
      </c>
      <c r="E193" s="127">
        <v>0</v>
      </c>
      <c r="F193" s="127">
        <v>6</v>
      </c>
      <c r="G193" s="130" t="s">
        <v>79</v>
      </c>
    </row>
    <row r="194" spans="2:7" x14ac:dyDescent="0.25">
      <c r="B194" s="126" t="s">
        <v>147</v>
      </c>
      <c r="C194" s="127">
        <v>22</v>
      </c>
      <c r="D194" s="127" t="s">
        <v>92</v>
      </c>
      <c r="E194" s="127">
        <v>2</v>
      </c>
      <c r="F194" s="127">
        <v>2</v>
      </c>
      <c r="G194" s="130" t="s">
        <v>83</v>
      </c>
    </row>
    <row r="195" spans="2:7" x14ac:dyDescent="0.25">
      <c r="B195" s="126" t="s">
        <v>147</v>
      </c>
      <c r="C195" s="127">
        <v>22</v>
      </c>
      <c r="D195" s="127" t="s">
        <v>91</v>
      </c>
      <c r="E195" s="127">
        <v>1</v>
      </c>
      <c r="F195" s="127">
        <v>1</v>
      </c>
      <c r="G195" s="130" t="s">
        <v>86</v>
      </c>
    </row>
    <row r="196" spans="2:7" x14ac:dyDescent="0.25">
      <c r="B196" s="126" t="s">
        <v>147</v>
      </c>
      <c r="C196" s="127">
        <v>22</v>
      </c>
      <c r="D196" s="127" t="s">
        <v>93</v>
      </c>
      <c r="E196" s="127">
        <v>1</v>
      </c>
      <c r="F196" s="127">
        <v>1</v>
      </c>
      <c r="G196" s="130" t="s">
        <v>87</v>
      </c>
    </row>
    <row r="197" spans="2:7" x14ac:dyDescent="0.25">
      <c r="B197" s="126" t="s">
        <v>147</v>
      </c>
      <c r="C197" s="127">
        <v>22</v>
      </c>
      <c r="D197" s="127" t="s">
        <v>90</v>
      </c>
      <c r="E197" s="127">
        <v>3</v>
      </c>
      <c r="F197" s="127">
        <v>1</v>
      </c>
      <c r="G197" s="130" t="s">
        <v>84</v>
      </c>
    </row>
    <row r="198" spans="2:7" x14ac:dyDescent="0.25">
      <c r="B198" s="126" t="s">
        <v>147</v>
      </c>
      <c r="C198" s="127">
        <v>22</v>
      </c>
      <c r="D198" s="127" t="s">
        <v>161</v>
      </c>
      <c r="E198" s="127">
        <v>1</v>
      </c>
      <c r="F198" s="127">
        <v>1</v>
      </c>
      <c r="G198" s="130" t="s">
        <v>172</v>
      </c>
    </row>
    <row r="199" spans="2:7" x14ac:dyDescent="0.25">
      <c r="B199" s="126" t="s">
        <v>147</v>
      </c>
      <c r="C199" s="127">
        <v>22</v>
      </c>
      <c r="D199" s="127" t="s">
        <v>173</v>
      </c>
      <c r="E199" s="127">
        <v>1</v>
      </c>
      <c r="F199" s="127">
        <v>1</v>
      </c>
      <c r="G199" s="130" t="s">
        <v>82</v>
      </c>
    </row>
    <row r="200" spans="2:7" x14ac:dyDescent="0.25">
      <c r="B200" s="126" t="s">
        <v>147</v>
      </c>
      <c r="C200" s="127">
        <v>22</v>
      </c>
      <c r="D200" s="127" t="s">
        <v>85</v>
      </c>
      <c r="E200" s="127">
        <v>2</v>
      </c>
      <c r="F200" s="127">
        <v>1</v>
      </c>
      <c r="G200" s="130" t="s">
        <v>88</v>
      </c>
    </row>
    <row r="201" spans="2:7" x14ac:dyDescent="0.25">
      <c r="B201" s="126" t="s">
        <v>147</v>
      </c>
      <c r="C201" s="127">
        <v>23</v>
      </c>
      <c r="D201" s="127" t="s">
        <v>79</v>
      </c>
      <c r="E201" s="127">
        <v>4</v>
      </c>
      <c r="F201" s="127">
        <v>1</v>
      </c>
      <c r="G201" s="130" t="s">
        <v>161</v>
      </c>
    </row>
    <row r="202" spans="2:7" x14ac:dyDescent="0.25">
      <c r="B202" s="126" t="s">
        <v>147</v>
      </c>
      <c r="C202" s="127">
        <v>23</v>
      </c>
      <c r="D202" s="127" t="s">
        <v>80</v>
      </c>
      <c r="E202" s="127">
        <v>3</v>
      </c>
      <c r="F202" s="127">
        <v>0</v>
      </c>
      <c r="G202" s="130" t="s">
        <v>93</v>
      </c>
    </row>
    <row r="203" spans="2:7" x14ac:dyDescent="0.25">
      <c r="B203" s="126" t="s">
        <v>147</v>
      </c>
      <c r="C203" s="127">
        <v>23</v>
      </c>
      <c r="D203" s="127" t="s">
        <v>86</v>
      </c>
      <c r="E203" s="127">
        <v>2</v>
      </c>
      <c r="F203" s="127">
        <v>0</v>
      </c>
      <c r="G203" s="130" t="s">
        <v>90</v>
      </c>
    </row>
    <row r="204" spans="2:7" x14ac:dyDescent="0.25">
      <c r="B204" s="126" t="s">
        <v>147</v>
      </c>
      <c r="C204" s="127">
        <v>23</v>
      </c>
      <c r="D204" s="127" t="s">
        <v>88</v>
      </c>
      <c r="E204" s="127">
        <v>1</v>
      </c>
      <c r="F204" s="127">
        <v>0</v>
      </c>
      <c r="G204" s="130" t="s">
        <v>92</v>
      </c>
    </row>
    <row r="205" spans="2:7" x14ac:dyDescent="0.25">
      <c r="B205" s="126" t="s">
        <v>147</v>
      </c>
      <c r="C205" s="127">
        <v>23</v>
      </c>
      <c r="D205" s="127" t="s">
        <v>83</v>
      </c>
      <c r="E205" s="127">
        <v>1</v>
      </c>
      <c r="F205" s="127">
        <v>0</v>
      </c>
      <c r="G205" s="130" t="s">
        <v>91</v>
      </c>
    </row>
    <row r="206" spans="2:7" x14ac:dyDescent="0.25">
      <c r="B206" s="126" t="s">
        <v>147</v>
      </c>
      <c r="C206" s="127">
        <v>23</v>
      </c>
      <c r="D206" s="127" t="s">
        <v>172</v>
      </c>
      <c r="E206" s="127">
        <v>1</v>
      </c>
      <c r="F206" s="127">
        <v>1</v>
      </c>
      <c r="G206" s="130" t="s">
        <v>94</v>
      </c>
    </row>
    <row r="207" spans="2:7" x14ac:dyDescent="0.25">
      <c r="B207" s="126" t="s">
        <v>147</v>
      </c>
      <c r="C207" s="127">
        <v>23</v>
      </c>
      <c r="D207" s="127" t="s">
        <v>84</v>
      </c>
      <c r="E207" s="127">
        <v>2</v>
      </c>
      <c r="F207" s="127">
        <v>1</v>
      </c>
      <c r="G207" s="130" t="s">
        <v>173</v>
      </c>
    </row>
    <row r="208" spans="2:7" x14ac:dyDescent="0.25">
      <c r="B208" s="126" t="s">
        <v>147</v>
      </c>
      <c r="C208" s="127">
        <v>23</v>
      </c>
      <c r="D208" s="127" t="s">
        <v>82</v>
      </c>
      <c r="E208" s="127">
        <v>2</v>
      </c>
      <c r="F208" s="127">
        <v>0</v>
      </c>
      <c r="G208" s="130" t="s">
        <v>148</v>
      </c>
    </row>
    <row r="209" spans="2:7" x14ac:dyDescent="0.25">
      <c r="B209" s="126" t="s">
        <v>147</v>
      </c>
      <c r="C209" s="127">
        <v>23</v>
      </c>
      <c r="D209" s="127" t="s">
        <v>87</v>
      </c>
      <c r="E209" s="127">
        <v>3</v>
      </c>
      <c r="F209" s="127">
        <v>5</v>
      </c>
      <c r="G209" s="130" t="s">
        <v>85</v>
      </c>
    </row>
    <row r="210" spans="2:7" x14ac:dyDescent="0.25">
      <c r="B210" s="126" t="s">
        <v>147</v>
      </c>
      <c r="C210" s="127">
        <v>24</v>
      </c>
      <c r="D210" s="127" t="s">
        <v>94</v>
      </c>
      <c r="E210" s="127">
        <v>0</v>
      </c>
      <c r="F210" s="127">
        <v>0</v>
      </c>
      <c r="G210" s="130" t="s">
        <v>88</v>
      </c>
    </row>
    <row r="211" spans="2:7" x14ac:dyDescent="0.25">
      <c r="B211" s="126" t="s">
        <v>147</v>
      </c>
      <c r="C211" s="127">
        <v>24</v>
      </c>
      <c r="D211" s="127" t="s">
        <v>172</v>
      </c>
      <c r="E211" s="127">
        <v>1</v>
      </c>
      <c r="F211" s="127">
        <v>3</v>
      </c>
      <c r="G211" s="130" t="s">
        <v>79</v>
      </c>
    </row>
    <row r="212" spans="2:7" x14ac:dyDescent="0.25">
      <c r="B212" s="126" t="s">
        <v>147</v>
      </c>
      <c r="C212" s="127">
        <v>24</v>
      </c>
      <c r="D212" s="127" t="s">
        <v>173</v>
      </c>
      <c r="E212" s="127">
        <v>0</v>
      </c>
      <c r="F212" s="127">
        <v>0</v>
      </c>
      <c r="G212" s="130" t="s">
        <v>80</v>
      </c>
    </row>
    <row r="213" spans="2:7" x14ac:dyDescent="0.25">
      <c r="B213" s="126" t="s">
        <v>147</v>
      </c>
      <c r="C213" s="127">
        <v>24</v>
      </c>
      <c r="D213" s="127" t="s">
        <v>92</v>
      </c>
      <c r="E213" s="127">
        <v>1</v>
      </c>
      <c r="F213" s="127">
        <v>0</v>
      </c>
      <c r="G213" s="130" t="s">
        <v>85</v>
      </c>
    </row>
    <row r="214" spans="2:7" x14ac:dyDescent="0.25">
      <c r="B214" s="126" t="s">
        <v>147</v>
      </c>
      <c r="C214" s="127">
        <v>24</v>
      </c>
      <c r="D214" s="127" t="s">
        <v>93</v>
      </c>
      <c r="E214" s="127">
        <v>3</v>
      </c>
      <c r="F214" s="127">
        <v>1</v>
      </c>
      <c r="G214" s="130" t="s">
        <v>86</v>
      </c>
    </row>
    <row r="215" spans="2:7" x14ac:dyDescent="0.25">
      <c r="B215" s="126" t="s">
        <v>147</v>
      </c>
      <c r="C215" s="127">
        <v>24</v>
      </c>
      <c r="D215" s="127" t="s">
        <v>91</v>
      </c>
      <c r="E215" s="127">
        <v>0</v>
      </c>
      <c r="F215" s="127">
        <v>1</v>
      </c>
      <c r="G215" s="130" t="s">
        <v>87</v>
      </c>
    </row>
    <row r="216" spans="2:7" x14ac:dyDescent="0.25">
      <c r="B216" s="126" t="s">
        <v>147</v>
      </c>
      <c r="C216" s="127">
        <v>24</v>
      </c>
      <c r="D216" s="127" t="s">
        <v>90</v>
      </c>
      <c r="E216" s="127">
        <v>2</v>
      </c>
      <c r="F216" s="127">
        <v>2</v>
      </c>
      <c r="G216" s="130" t="s">
        <v>82</v>
      </c>
    </row>
    <row r="217" spans="2:7" x14ac:dyDescent="0.25">
      <c r="B217" s="126" t="s">
        <v>147</v>
      </c>
      <c r="C217" s="127">
        <v>24</v>
      </c>
      <c r="D217" s="127" t="s">
        <v>161</v>
      </c>
      <c r="E217" s="127">
        <v>4</v>
      </c>
      <c r="F217" s="127">
        <v>2</v>
      </c>
      <c r="G217" s="130" t="s">
        <v>84</v>
      </c>
    </row>
    <row r="218" spans="2:7" x14ac:dyDescent="0.25">
      <c r="B218" s="126" t="s">
        <v>147</v>
      </c>
      <c r="C218" s="127">
        <v>24</v>
      </c>
      <c r="D218" s="127" t="s">
        <v>148</v>
      </c>
      <c r="E218" s="127">
        <v>0</v>
      </c>
      <c r="F218" s="127">
        <v>3</v>
      </c>
      <c r="G218" s="130" t="s">
        <v>83</v>
      </c>
    </row>
    <row r="219" spans="2:7" x14ac:dyDescent="0.25">
      <c r="B219" s="126" t="s">
        <v>147</v>
      </c>
      <c r="C219" s="127">
        <v>25</v>
      </c>
      <c r="D219" s="127" t="s">
        <v>83</v>
      </c>
      <c r="E219" s="127">
        <v>4</v>
      </c>
      <c r="F219" s="127">
        <v>0</v>
      </c>
      <c r="G219" s="130" t="s">
        <v>94</v>
      </c>
    </row>
    <row r="220" spans="2:7" x14ac:dyDescent="0.25">
      <c r="B220" s="126" t="s">
        <v>147</v>
      </c>
      <c r="C220" s="127">
        <v>25</v>
      </c>
      <c r="D220" s="127" t="s">
        <v>87</v>
      </c>
      <c r="E220" s="127">
        <v>0</v>
      </c>
      <c r="F220" s="127">
        <v>4</v>
      </c>
      <c r="G220" s="130" t="s">
        <v>79</v>
      </c>
    </row>
    <row r="221" spans="2:7" x14ac:dyDescent="0.25">
      <c r="B221" s="126" t="s">
        <v>147</v>
      </c>
      <c r="C221" s="127">
        <v>25</v>
      </c>
      <c r="D221" s="127" t="s">
        <v>88</v>
      </c>
      <c r="E221" s="127">
        <v>2</v>
      </c>
      <c r="F221" s="127">
        <v>2</v>
      </c>
      <c r="G221" s="130" t="s">
        <v>93</v>
      </c>
    </row>
    <row r="222" spans="2:7" x14ac:dyDescent="0.25">
      <c r="B222" s="126" t="s">
        <v>147</v>
      </c>
      <c r="C222" s="127">
        <v>25</v>
      </c>
      <c r="D222" s="127" t="s">
        <v>92</v>
      </c>
      <c r="E222" s="127">
        <v>0</v>
      </c>
      <c r="F222" s="127">
        <v>2</v>
      </c>
      <c r="G222" s="130" t="s">
        <v>90</v>
      </c>
    </row>
    <row r="223" spans="2:7" x14ac:dyDescent="0.25">
      <c r="B223" s="126" t="s">
        <v>147</v>
      </c>
      <c r="C223" s="127">
        <v>25</v>
      </c>
      <c r="D223" s="127" t="s">
        <v>86</v>
      </c>
      <c r="E223" s="127">
        <v>3</v>
      </c>
      <c r="F223" s="127">
        <v>0</v>
      </c>
      <c r="G223" s="130" t="s">
        <v>173</v>
      </c>
    </row>
    <row r="224" spans="2:7" x14ac:dyDescent="0.25">
      <c r="B224" s="126" t="s">
        <v>147</v>
      </c>
      <c r="C224" s="127">
        <v>25</v>
      </c>
      <c r="D224" s="127" t="s">
        <v>84</v>
      </c>
      <c r="E224" s="127">
        <v>4</v>
      </c>
      <c r="F224" s="127">
        <v>0</v>
      </c>
      <c r="G224" s="130" t="s">
        <v>148</v>
      </c>
    </row>
    <row r="225" spans="2:7" x14ac:dyDescent="0.25">
      <c r="B225" s="126" t="s">
        <v>147</v>
      </c>
      <c r="C225" s="127">
        <v>25</v>
      </c>
      <c r="D225" s="127" t="s">
        <v>80</v>
      </c>
      <c r="E225" s="127">
        <v>0</v>
      </c>
      <c r="F225" s="127">
        <v>0</v>
      </c>
      <c r="G225" s="130" t="s">
        <v>161</v>
      </c>
    </row>
    <row r="226" spans="2:7" x14ac:dyDescent="0.25">
      <c r="B226" s="126" t="s">
        <v>147</v>
      </c>
      <c r="C226" s="127">
        <v>25</v>
      </c>
      <c r="D226" s="127" t="s">
        <v>85</v>
      </c>
      <c r="E226" s="127">
        <v>3</v>
      </c>
      <c r="F226" s="127">
        <v>0</v>
      </c>
      <c r="G226" s="130" t="s">
        <v>91</v>
      </c>
    </row>
    <row r="227" spans="2:7" x14ac:dyDescent="0.25">
      <c r="B227" s="126" t="s">
        <v>147</v>
      </c>
      <c r="C227" s="127">
        <v>25</v>
      </c>
      <c r="D227" s="127" t="s">
        <v>82</v>
      </c>
      <c r="E227" s="127">
        <v>2</v>
      </c>
      <c r="F227" s="127">
        <v>0</v>
      </c>
      <c r="G227" s="130" t="s">
        <v>172</v>
      </c>
    </row>
    <row r="228" spans="2:7" x14ac:dyDescent="0.25">
      <c r="B228" s="126" t="s">
        <v>147</v>
      </c>
      <c r="C228" s="127">
        <v>26</v>
      </c>
      <c r="D228" s="127" t="s">
        <v>173</v>
      </c>
      <c r="E228" s="127">
        <v>0</v>
      </c>
      <c r="F228" s="127">
        <v>1</v>
      </c>
      <c r="G228" s="130" t="s">
        <v>88</v>
      </c>
    </row>
    <row r="229" spans="2:7" x14ac:dyDescent="0.25">
      <c r="B229" s="126" t="s">
        <v>147</v>
      </c>
      <c r="C229" s="127">
        <v>26</v>
      </c>
      <c r="D229" s="127" t="s">
        <v>172</v>
      </c>
      <c r="E229" s="127">
        <v>2</v>
      </c>
      <c r="F229" s="127">
        <v>3</v>
      </c>
      <c r="G229" s="130" t="s">
        <v>80</v>
      </c>
    </row>
    <row r="230" spans="2:7" x14ac:dyDescent="0.25">
      <c r="B230" s="126" t="s">
        <v>147</v>
      </c>
      <c r="C230" s="127">
        <v>26</v>
      </c>
      <c r="D230" s="127" t="s">
        <v>91</v>
      </c>
      <c r="E230" s="127">
        <v>2</v>
      </c>
      <c r="F230" s="127">
        <v>0</v>
      </c>
      <c r="G230" s="130" t="s">
        <v>92</v>
      </c>
    </row>
    <row r="231" spans="2:7" x14ac:dyDescent="0.25">
      <c r="B231" s="126" t="s">
        <v>147</v>
      </c>
      <c r="C231" s="127">
        <v>26</v>
      </c>
      <c r="D231" s="127" t="s">
        <v>148</v>
      </c>
      <c r="E231" s="127">
        <v>0</v>
      </c>
      <c r="F231" s="127">
        <v>0</v>
      </c>
      <c r="G231" s="130" t="s">
        <v>86</v>
      </c>
    </row>
    <row r="232" spans="2:7" x14ac:dyDescent="0.25">
      <c r="B232" s="126" t="s">
        <v>147</v>
      </c>
      <c r="C232" s="127">
        <v>26</v>
      </c>
      <c r="D232" s="127" t="s">
        <v>161</v>
      </c>
      <c r="E232" s="127">
        <v>1</v>
      </c>
      <c r="F232" s="127">
        <v>1</v>
      </c>
      <c r="G232" s="130" t="s">
        <v>87</v>
      </c>
    </row>
    <row r="233" spans="2:7" x14ac:dyDescent="0.25">
      <c r="B233" s="126" t="s">
        <v>147</v>
      </c>
      <c r="C233" s="127">
        <v>26</v>
      </c>
      <c r="D233" s="127" t="s">
        <v>94</v>
      </c>
      <c r="E233" s="127">
        <v>3</v>
      </c>
      <c r="F233" s="127">
        <v>1</v>
      </c>
      <c r="G233" s="130" t="s">
        <v>84</v>
      </c>
    </row>
    <row r="234" spans="2:7" x14ac:dyDescent="0.25">
      <c r="B234" s="126" t="s">
        <v>147</v>
      </c>
      <c r="C234" s="127">
        <v>26</v>
      </c>
      <c r="D234" s="127" t="s">
        <v>93</v>
      </c>
      <c r="E234" s="127">
        <v>0</v>
      </c>
      <c r="F234" s="127">
        <v>1</v>
      </c>
      <c r="G234" s="130" t="s">
        <v>83</v>
      </c>
    </row>
    <row r="235" spans="2:7" x14ac:dyDescent="0.25">
      <c r="B235" s="126" t="s">
        <v>147</v>
      </c>
      <c r="C235" s="127">
        <v>26</v>
      </c>
      <c r="D235" s="127" t="s">
        <v>90</v>
      </c>
      <c r="E235" s="127">
        <v>1</v>
      </c>
      <c r="F235" s="127">
        <v>1</v>
      </c>
      <c r="G235" s="130" t="s">
        <v>85</v>
      </c>
    </row>
    <row r="236" spans="2:7" x14ac:dyDescent="0.25">
      <c r="B236" s="126" t="s">
        <v>147</v>
      </c>
      <c r="C236" s="127">
        <v>26</v>
      </c>
      <c r="D236" s="127" t="s">
        <v>79</v>
      </c>
      <c r="E236" s="127">
        <v>0</v>
      </c>
      <c r="F236" s="127">
        <v>2</v>
      </c>
      <c r="G236" s="130" t="s">
        <v>82</v>
      </c>
    </row>
    <row r="237" spans="2:7" x14ac:dyDescent="0.25">
      <c r="B237" s="126" t="s">
        <v>147</v>
      </c>
      <c r="C237" s="127">
        <v>27</v>
      </c>
      <c r="D237" s="127" t="s">
        <v>86</v>
      </c>
      <c r="E237" s="127">
        <v>1</v>
      </c>
      <c r="F237" s="127">
        <v>4</v>
      </c>
      <c r="G237" s="130" t="s">
        <v>82</v>
      </c>
    </row>
    <row r="238" spans="2:7" x14ac:dyDescent="0.25">
      <c r="B238" s="126" t="s">
        <v>147</v>
      </c>
      <c r="C238" s="127">
        <v>27</v>
      </c>
      <c r="D238" s="127" t="s">
        <v>87</v>
      </c>
      <c r="E238" s="127">
        <v>0</v>
      </c>
      <c r="F238" s="127">
        <v>0</v>
      </c>
      <c r="G238" s="130" t="s">
        <v>90</v>
      </c>
    </row>
    <row r="239" spans="2:7" x14ac:dyDescent="0.25">
      <c r="B239" s="126" t="s">
        <v>147</v>
      </c>
      <c r="C239" s="127">
        <v>27</v>
      </c>
      <c r="D239" s="127" t="s">
        <v>84</v>
      </c>
      <c r="E239" s="127">
        <v>2</v>
      </c>
      <c r="F239" s="127">
        <v>2</v>
      </c>
      <c r="G239" s="130" t="s">
        <v>172</v>
      </c>
    </row>
    <row r="240" spans="2:7" x14ac:dyDescent="0.25">
      <c r="B240" s="126" t="s">
        <v>147</v>
      </c>
      <c r="C240" s="127">
        <v>27</v>
      </c>
      <c r="D240" s="127" t="s">
        <v>85</v>
      </c>
      <c r="E240" s="127">
        <v>3</v>
      </c>
      <c r="F240" s="127">
        <v>1</v>
      </c>
      <c r="G240" s="130" t="s">
        <v>94</v>
      </c>
    </row>
    <row r="241" spans="2:7" x14ac:dyDescent="0.25">
      <c r="B241" s="126" t="s">
        <v>147</v>
      </c>
      <c r="C241" s="127">
        <v>27</v>
      </c>
      <c r="D241" s="127" t="s">
        <v>83</v>
      </c>
      <c r="E241" s="127">
        <v>4</v>
      </c>
      <c r="F241" s="127">
        <v>0</v>
      </c>
      <c r="G241" s="130" t="s">
        <v>173</v>
      </c>
    </row>
    <row r="242" spans="2:7" x14ac:dyDescent="0.25">
      <c r="B242" s="126" t="s">
        <v>147</v>
      </c>
      <c r="C242" s="127">
        <v>27</v>
      </c>
      <c r="D242" s="127" t="s">
        <v>91</v>
      </c>
      <c r="E242" s="127">
        <v>1</v>
      </c>
      <c r="F242" s="127">
        <v>0</v>
      </c>
      <c r="G242" s="130" t="s">
        <v>161</v>
      </c>
    </row>
    <row r="243" spans="2:7" x14ac:dyDescent="0.25">
      <c r="B243" s="126" t="s">
        <v>147</v>
      </c>
      <c r="C243" s="127">
        <v>27</v>
      </c>
      <c r="D243" s="127" t="s">
        <v>80</v>
      </c>
      <c r="E243" s="127">
        <v>0</v>
      </c>
      <c r="F243" s="127">
        <v>1</v>
      </c>
      <c r="G243" s="130" t="s">
        <v>79</v>
      </c>
    </row>
    <row r="244" spans="2:7" x14ac:dyDescent="0.25">
      <c r="B244" s="126" t="s">
        <v>147</v>
      </c>
      <c r="C244" s="127">
        <v>27</v>
      </c>
      <c r="D244" s="127" t="s">
        <v>92</v>
      </c>
      <c r="E244" s="127">
        <v>0</v>
      </c>
      <c r="F244" s="127">
        <v>0</v>
      </c>
      <c r="G244" s="130" t="s">
        <v>93</v>
      </c>
    </row>
    <row r="245" spans="2:7" x14ac:dyDescent="0.25">
      <c r="B245" s="126" t="s">
        <v>147</v>
      </c>
      <c r="C245" s="127">
        <v>27</v>
      </c>
      <c r="D245" s="127" t="s">
        <v>88</v>
      </c>
      <c r="E245" s="127">
        <v>2</v>
      </c>
      <c r="F245" s="127">
        <v>0</v>
      </c>
      <c r="G245" s="130" t="s">
        <v>148</v>
      </c>
    </row>
    <row r="246" spans="2:7" x14ac:dyDescent="0.25">
      <c r="B246" s="126" t="s">
        <v>147</v>
      </c>
      <c r="C246" s="127">
        <v>28</v>
      </c>
      <c r="D246" s="127" t="s">
        <v>172</v>
      </c>
      <c r="E246" s="127">
        <v>1</v>
      </c>
      <c r="F246" s="127">
        <v>1</v>
      </c>
      <c r="G246" s="130" t="s">
        <v>88</v>
      </c>
    </row>
    <row r="247" spans="2:7" x14ac:dyDescent="0.25">
      <c r="B247" s="126" t="s">
        <v>147</v>
      </c>
      <c r="C247" s="127">
        <v>28</v>
      </c>
      <c r="D247" s="127" t="s">
        <v>82</v>
      </c>
      <c r="E247" s="127">
        <v>3</v>
      </c>
      <c r="F247" s="127">
        <v>1</v>
      </c>
      <c r="G247" s="130" t="s">
        <v>80</v>
      </c>
    </row>
    <row r="248" spans="2:7" x14ac:dyDescent="0.25">
      <c r="B248" s="126" t="s">
        <v>147</v>
      </c>
      <c r="C248" s="127">
        <v>28</v>
      </c>
      <c r="D248" s="127" t="s">
        <v>90</v>
      </c>
      <c r="E248" s="127">
        <v>2</v>
      </c>
      <c r="F248" s="127">
        <v>3</v>
      </c>
      <c r="G248" s="130" t="s">
        <v>83</v>
      </c>
    </row>
    <row r="249" spans="2:7" x14ac:dyDescent="0.25">
      <c r="B249" s="126" t="s">
        <v>147</v>
      </c>
      <c r="C249" s="127">
        <v>28</v>
      </c>
      <c r="D249" s="127" t="s">
        <v>148</v>
      </c>
      <c r="E249" s="127">
        <v>2</v>
      </c>
      <c r="F249" s="127">
        <v>1</v>
      </c>
      <c r="G249" s="130" t="s">
        <v>92</v>
      </c>
    </row>
    <row r="250" spans="2:7" x14ac:dyDescent="0.25">
      <c r="B250" s="126" t="s">
        <v>147</v>
      </c>
      <c r="C250" s="127">
        <v>28</v>
      </c>
      <c r="D250" s="127" t="s">
        <v>79</v>
      </c>
      <c r="E250" s="127">
        <v>3</v>
      </c>
      <c r="F250" s="127">
        <v>0</v>
      </c>
      <c r="G250" s="130" t="s">
        <v>84</v>
      </c>
    </row>
    <row r="251" spans="2:7" x14ac:dyDescent="0.25">
      <c r="B251" s="126" t="s">
        <v>147</v>
      </c>
      <c r="C251" s="127">
        <v>28</v>
      </c>
      <c r="D251" s="127" t="s">
        <v>93</v>
      </c>
      <c r="E251" s="127">
        <v>0</v>
      </c>
      <c r="F251" s="127">
        <v>0</v>
      </c>
      <c r="G251" s="130" t="s">
        <v>91</v>
      </c>
    </row>
    <row r="252" spans="2:7" x14ac:dyDescent="0.25">
      <c r="B252" s="126" t="s">
        <v>147</v>
      </c>
      <c r="C252" s="127">
        <v>28</v>
      </c>
      <c r="D252" s="127" t="s">
        <v>173</v>
      </c>
      <c r="E252" s="127">
        <v>0</v>
      </c>
      <c r="F252" s="127">
        <v>2</v>
      </c>
      <c r="G252" s="130" t="s">
        <v>85</v>
      </c>
    </row>
    <row r="253" spans="2:7" x14ac:dyDescent="0.25">
      <c r="B253" s="126" t="s">
        <v>147</v>
      </c>
      <c r="C253" s="127">
        <v>28</v>
      </c>
      <c r="D253" s="127" t="s">
        <v>161</v>
      </c>
      <c r="E253" s="127">
        <v>3</v>
      </c>
      <c r="F253" s="127">
        <v>2</v>
      </c>
      <c r="G253" s="130" t="s">
        <v>86</v>
      </c>
    </row>
    <row r="254" spans="2:7" x14ac:dyDescent="0.25">
      <c r="B254" s="126" t="s">
        <v>147</v>
      </c>
      <c r="C254" s="127">
        <v>28</v>
      </c>
      <c r="D254" s="127" t="s">
        <v>94</v>
      </c>
      <c r="E254" s="127">
        <v>3</v>
      </c>
      <c r="F254" s="127">
        <v>2</v>
      </c>
      <c r="G254" s="130" t="s">
        <v>87</v>
      </c>
    </row>
    <row r="255" spans="2:7" x14ac:dyDescent="0.25">
      <c r="B255" s="126" t="s">
        <v>147</v>
      </c>
      <c r="C255" s="127">
        <v>29</v>
      </c>
      <c r="D255" s="127" t="s">
        <v>84</v>
      </c>
      <c r="E255" s="127">
        <v>0</v>
      </c>
      <c r="F255" s="127">
        <v>0</v>
      </c>
      <c r="G255" s="130" t="s">
        <v>82</v>
      </c>
    </row>
    <row r="256" spans="2:7" x14ac:dyDescent="0.25">
      <c r="B256" s="126" t="s">
        <v>147</v>
      </c>
      <c r="C256" s="127">
        <v>29</v>
      </c>
      <c r="D256" s="127" t="s">
        <v>86</v>
      </c>
      <c r="E256" s="127">
        <v>0</v>
      </c>
      <c r="F256" s="127">
        <v>2</v>
      </c>
      <c r="G256" s="130" t="s">
        <v>79</v>
      </c>
    </row>
    <row r="257" spans="2:7" x14ac:dyDescent="0.25">
      <c r="B257" s="126" t="s">
        <v>147</v>
      </c>
      <c r="C257" s="127">
        <v>29</v>
      </c>
      <c r="D257" s="127" t="s">
        <v>91</v>
      </c>
      <c r="E257" s="127">
        <v>2</v>
      </c>
      <c r="F257" s="127">
        <v>3</v>
      </c>
      <c r="G257" s="130" t="s">
        <v>90</v>
      </c>
    </row>
    <row r="258" spans="2:7" x14ac:dyDescent="0.25">
      <c r="B258" s="126" t="s">
        <v>147</v>
      </c>
      <c r="C258" s="127">
        <v>29</v>
      </c>
      <c r="D258" s="127" t="s">
        <v>83</v>
      </c>
      <c r="E258" s="127">
        <v>4</v>
      </c>
      <c r="F258" s="127">
        <v>0</v>
      </c>
      <c r="G258" s="130" t="s">
        <v>172</v>
      </c>
    </row>
    <row r="259" spans="2:7" x14ac:dyDescent="0.25">
      <c r="B259" s="126" t="s">
        <v>147</v>
      </c>
      <c r="C259" s="127">
        <v>29</v>
      </c>
      <c r="D259" s="127" t="s">
        <v>88</v>
      </c>
      <c r="E259" s="127">
        <v>0</v>
      </c>
      <c r="F259" s="127">
        <v>0</v>
      </c>
      <c r="G259" s="130" t="s">
        <v>161</v>
      </c>
    </row>
    <row r="260" spans="2:7" x14ac:dyDescent="0.25">
      <c r="B260" s="126" t="s">
        <v>147</v>
      </c>
      <c r="C260" s="127">
        <v>29</v>
      </c>
      <c r="D260" s="127" t="s">
        <v>80</v>
      </c>
      <c r="E260" s="127">
        <v>3</v>
      </c>
      <c r="F260" s="127">
        <v>0</v>
      </c>
      <c r="G260" s="130" t="s">
        <v>148</v>
      </c>
    </row>
    <row r="261" spans="2:7" x14ac:dyDescent="0.25">
      <c r="B261" s="126" t="s">
        <v>147</v>
      </c>
      <c r="C261" s="127">
        <v>29</v>
      </c>
      <c r="D261" s="127" t="s">
        <v>92</v>
      </c>
      <c r="E261" s="127">
        <v>2</v>
      </c>
      <c r="F261" s="127">
        <v>1</v>
      </c>
      <c r="G261" s="130" t="s">
        <v>94</v>
      </c>
    </row>
    <row r="262" spans="2:7" x14ac:dyDescent="0.25">
      <c r="B262" s="126" t="s">
        <v>147</v>
      </c>
      <c r="C262" s="127">
        <v>29</v>
      </c>
      <c r="D262" s="127" t="s">
        <v>87</v>
      </c>
      <c r="E262" s="127">
        <v>1</v>
      </c>
      <c r="F262" s="127">
        <v>0</v>
      </c>
      <c r="G262" s="130" t="s">
        <v>173</v>
      </c>
    </row>
    <row r="263" spans="2:7" x14ac:dyDescent="0.25">
      <c r="B263" s="126" t="s">
        <v>147</v>
      </c>
      <c r="C263" s="127">
        <v>29</v>
      </c>
      <c r="D263" s="127" t="s">
        <v>85</v>
      </c>
      <c r="E263" s="127">
        <v>1</v>
      </c>
      <c r="F263" s="127">
        <v>1</v>
      </c>
      <c r="G263" s="130" t="s">
        <v>93</v>
      </c>
    </row>
    <row r="264" spans="2:7" x14ac:dyDescent="0.25">
      <c r="B264" s="126" t="s">
        <v>147</v>
      </c>
      <c r="C264" s="127">
        <v>30</v>
      </c>
      <c r="D264" s="127" t="s">
        <v>90</v>
      </c>
      <c r="E264" s="127">
        <v>2</v>
      </c>
      <c r="F264" s="127">
        <v>0</v>
      </c>
      <c r="G264" s="130" t="s">
        <v>93</v>
      </c>
    </row>
    <row r="265" spans="2:7" x14ac:dyDescent="0.25">
      <c r="B265" s="126" t="s">
        <v>147</v>
      </c>
      <c r="C265" s="127">
        <v>30</v>
      </c>
      <c r="D265" s="127" t="s">
        <v>161</v>
      </c>
      <c r="E265" s="127">
        <v>1</v>
      </c>
      <c r="F265" s="127">
        <v>1</v>
      </c>
      <c r="G265" s="130" t="s">
        <v>83</v>
      </c>
    </row>
    <row r="266" spans="2:7" x14ac:dyDescent="0.25">
      <c r="B266" s="126" t="s">
        <v>147</v>
      </c>
      <c r="C266" s="127">
        <v>30</v>
      </c>
      <c r="D266" s="127" t="s">
        <v>173</v>
      </c>
      <c r="E266" s="127">
        <v>3</v>
      </c>
      <c r="F266" s="127">
        <v>2</v>
      </c>
      <c r="G266" s="130" t="s">
        <v>92</v>
      </c>
    </row>
    <row r="267" spans="2:7" x14ac:dyDescent="0.25">
      <c r="B267" s="126" t="s">
        <v>147</v>
      </c>
      <c r="C267" s="127">
        <v>30</v>
      </c>
      <c r="D267" s="127" t="s">
        <v>172</v>
      </c>
      <c r="E267" s="127">
        <v>1</v>
      </c>
      <c r="F267" s="127">
        <v>2</v>
      </c>
      <c r="G267" s="130" t="s">
        <v>86</v>
      </c>
    </row>
    <row r="268" spans="2:7" x14ac:dyDescent="0.25">
      <c r="B268" s="126" t="s">
        <v>147</v>
      </c>
      <c r="C268" s="127">
        <v>30</v>
      </c>
      <c r="D268" s="127" t="s">
        <v>80</v>
      </c>
      <c r="E268" s="127">
        <v>2</v>
      </c>
      <c r="F268" s="127">
        <v>0</v>
      </c>
      <c r="G268" s="130" t="s">
        <v>84</v>
      </c>
    </row>
    <row r="269" spans="2:7" x14ac:dyDescent="0.25">
      <c r="B269" s="126" t="s">
        <v>147</v>
      </c>
      <c r="C269" s="127">
        <v>30</v>
      </c>
      <c r="D269" s="127" t="s">
        <v>94</v>
      </c>
      <c r="E269" s="127">
        <v>2</v>
      </c>
      <c r="F269" s="127">
        <v>2</v>
      </c>
      <c r="G269" s="130" t="s">
        <v>91</v>
      </c>
    </row>
    <row r="270" spans="2:7" x14ac:dyDescent="0.25">
      <c r="B270" s="126" t="s">
        <v>147</v>
      </c>
      <c r="C270" s="127">
        <v>30</v>
      </c>
      <c r="D270" s="127" t="s">
        <v>79</v>
      </c>
      <c r="E270" s="127">
        <v>1</v>
      </c>
      <c r="F270" s="127">
        <v>0</v>
      </c>
      <c r="G270" s="130" t="s">
        <v>88</v>
      </c>
    </row>
    <row r="271" spans="2:7" x14ac:dyDescent="0.25">
      <c r="B271" s="126" t="s">
        <v>147</v>
      </c>
      <c r="C271" s="127">
        <v>30</v>
      </c>
      <c r="D271" s="127" t="s">
        <v>148</v>
      </c>
      <c r="E271" s="127">
        <v>2</v>
      </c>
      <c r="F271" s="127">
        <v>2</v>
      </c>
      <c r="G271" s="130" t="s">
        <v>87</v>
      </c>
    </row>
    <row r="272" spans="2:7" x14ac:dyDescent="0.25">
      <c r="B272" s="126" t="s">
        <v>147</v>
      </c>
      <c r="C272" s="127">
        <v>30</v>
      </c>
      <c r="D272" s="127" t="s">
        <v>82</v>
      </c>
      <c r="E272" s="127">
        <v>1</v>
      </c>
      <c r="F272" s="127">
        <v>0</v>
      </c>
      <c r="G272" s="130" t="s">
        <v>85</v>
      </c>
    </row>
    <row r="273" spans="2:7" x14ac:dyDescent="0.25">
      <c r="B273" s="126" t="s">
        <v>147</v>
      </c>
      <c r="C273" s="127">
        <v>31</v>
      </c>
      <c r="D273" s="127" t="s">
        <v>86</v>
      </c>
      <c r="E273" s="127">
        <v>1</v>
      </c>
      <c r="F273" s="127">
        <v>1</v>
      </c>
      <c r="G273" s="130" t="s">
        <v>80</v>
      </c>
    </row>
    <row r="274" spans="2:7" x14ac:dyDescent="0.25">
      <c r="B274" s="126" t="s">
        <v>147</v>
      </c>
      <c r="C274" s="127">
        <v>31</v>
      </c>
      <c r="D274" s="127" t="s">
        <v>85</v>
      </c>
      <c r="E274" s="127">
        <v>2</v>
      </c>
      <c r="F274" s="127">
        <v>2</v>
      </c>
      <c r="G274" s="130" t="s">
        <v>172</v>
      </c>
    </row>
    <row r="275" spans="2:7" x14ac:dyDescent="0.25">
      <c r="B275" s="126" t="s">
        <v>147</v>
      </c>
      <c r="C275" s="127">
        <v>31</v>
      </c>
      <c r="D275" s="127" t="s">
        <v>87</v>
      </c>
      <c r="E275" s="127">
        <v>1</v>
      </c>
      <c r="F275" s="127">
        <v>0</v>
      </c>
      <c r="G275" s="130" t="s">
        <v>84</v>
      </c>
    </row>
    <row r="276" spans="2:7" x14ac:dyDescent="0.25">
      <c r="B276" s="126" t="s">
        <v>147</v>
      </c>
      <c r="C276" s="127">
        <v>31</v>
      </c>
      <c r="D276" s="127" t="s">
        <v>93</v>
      </c>
      <c r="E276" s="127">
        <v>3</v>
      </c>
      <c r="F276" s="127">
        <v>2</v>
      </c>
      <c r="G276" s="130" t="s">
        <v>94</v>
      </c>
    </row>
    <row r="277" spans="2:7" x14ac:dyDescent="0.25">
      <c r="B277" s="126" t="s">
        <v>147</v>
      </c>
      <c r="C277" s="127">
        <v>31</v>
      </c>
      <c r="D277" s="127" t="s">
        <v>92</v>
      </c>
      <c r="E277" s="127">
        <v>0</v>
      </c>
      <c r="F277" s="127">
        <v>0</v>
      </c>
      <c r="G277" s="130" t="s">
        <v>161</v>
      </c>
    </row>
    <row r="278" spans="2:7" x14ac:dyDescent="0.25">
      <c r="B278" s="126" t="s">
        <v>147</v>
      </c>
      <c r="C278" s="127">
        <v>31</v>
      </c>
      <c r="D278" s="127" t="s">
        <v>91</v>
      </c>
      <c r="E278" s="127">
        <v>1</v>
      </c>
      <c r="F278" s="127">
        <v>2</v>
      </c>
      <c r="G278" s="130" t="s">
        <v>148</v>
      </c>
    </row>
    <row r="279" spans="2:7" x14ac:dyDescent="0.25">
      <c r="B279" s="126" t="s">
        <v>147</v>
      </c>
      <c r="C279" s="127">
        <v>31</v>
      </c>
      <c r="D279" s="127" t="s">
        <v>83</v>
      </c>
      <c r="E279" s="127">
        <v>2</v>
      </c>
      <c r="F279" s="127">
        <v>0</v>
      </c>
      <c r="G279" s="130" t="s">
        <v>79</v>
      </c>
    </row>
    <row r="280" spans="2:7" x14ac:dyDescent="0.25">
      <c r="B280" s="126" t="s">
        <v>147</v>
      </c>
      <c r="C280" s="127">
        <v>31</v>
      </c>
      <c r="D280" s="127" t="s">
        <v>90</v>
      </c>
      <c r="E280" s="127">
        <v>1</v>
      </c>
      <c r="F280" s="127">
        <v>2</v>
      </c>
      <c r="G280" s="130" t="s">
        <v>173</v>
      </c>
    </row>
    <row r="281" spans="2:7" x14ac:dyDescent="0.25">
      <c r="B281" s="126" t="s">
        <v>147</v>
      </c>
      <c r="C281" s="127">
        <v>31</v>
      </c>
      <c r="D281" s="127" t="s">
        <v>88</v>
      </c>
      <c r="E281" s="127">
        <v>1</v>
      </c>
      <c r="F281" s="127">
        <v>2</v>
      </c>
      <c r="G281" s="130" t="s">
        <v>82</v>
      </c>
    </row>
    <row r="282" spans="2:7" x14ac:dyDescent="0.25">
      <c r="B282" s="126" t="s">
        <v>147</v>
      </c>
      <c r="C282" s="127">
        <v>32</v>
      </c>
      <c r="D282" s="127" t="s">
        <v>173</v>
      </c>
      <c r="E282" s="127">
        <v>1</v>
      </c>
      <c r="F282" s="127">
        <v>1</v>
      </c>
      <c r="G282" s="130" t="s">
        <v>91</v>
      </c>
    </row>
    <row r="283" spans="2:7" x14ac:dyDescent="0.25">
      <c r="B283" s="126" t="s">
        <v>147</v>
      </c>
      <c r="C283" s="127">
        <v>32</v>
      </c>
      <c r="D283" s="127" t="s">
        <v>82</v>
      </c>
      <c r="E283" s="127">
        <v>3</v>
      </c>
      <c r="F283" s="127">
        <v>0</v>
      </c>
      <c r="G283" s="130" t="s">
        <v>83</v>
      </c>
    </row>
    <row r="284" spans="2:7" x14ac:dyDescent="0.25">
      <c r="B284" s="126" t="s">
        <v>147</v>
      </c>
      <c r="C284" s="127">
        <v>32</v>
      </c>
      <c r="D284" s="127" t="s">
        <v>79</v>
      </c>
      <c r="E284" s="127">
        <v>0</v>
      </c>
      <c r="F284" s="127">
        <v>1</v>
      </c>
      <c r="G284" s="130" t="s">
        <v>92</v>
      </c>
    </row>
    <row r="285" spans="2:7" x14ac:dyDescent="0.25">
      <c r="B285" s="126" t="s">
        <v>147</v>
      </c>
      <c r="C285" s="127">
        <v>32</v>
      </c>
      <c r="D285" s="127" t="s">
        <v>84</v>
      </c>
      <c r="E285" s="127">
        <v>3</v>
      </c>
      <c r="F285" s="127">
        <v>1</v>
      </c>
      <c r="G285" s="130" t="s">
        <v>86</v>
      </c>
    </row>
    <row r="286" spans="2:7" x14ac:dyDescent="0.25">
      <c r="B286" s="126" t="s">
        <v>147</v>
      </c>
      <c r="C286" s="127">
        <v>32</v>
      </c>
      <c r="D286" s="127" t="s">
        <v>80</v>
      </c>
      <c r="E286" s="127">
        <v>2</v>
      </c>
      <c r="F286" s="127">
        <v>0</v>
      </c>
      <c r="G286" s="130" t="s">
        <v>88</v>
      </c>
    </row>
    <row r="287" spans="2:7" x14ac:dyDescent="0.25">
      <c r="B287" s="126" t="s">
        <v>147</v>
      </c>
      <c r="C287" s="127">
        <v>32</v>
      </c>
      <c r="D287" s="127" t="s">
        <v>172</v>
      </c>
      <c r="E287" s="127">
        <v>1</v>
      </c>
      <c r="F287" s="127">
        <v>1</v>
      </c>
      <c r="G287" s="130" t="s">
        <v>87</v>
      </c>
    </row>
    <row r="288" spans="2:7" x14ac:dyDescent="0.25">
      <c r="B288" s="126" t="s">
        <v>147</v>
      </c>
      <c r="C288" s="127">
        <v>32</v>
      </c>
      <c r="D288" s="127" t="s">
        <v>94</v>
      </c>
      <c r="E288" s="127">
        <v>2</v>
      </c>
      <c r="F288" s="127">
        <v>0</v>
      </c>
      <c r="G288" s="130" t="s">
        <v>90</v>
      </c>
    </row>
    <row r="289" spans="2:7" x14ac:dyDescent="0.25">
      <c r="B289" s="126" t="s">
        <v>147</v>
      </c>
      <c r="C289" s="127">
        <v>32</v>
      </c>
      <c r="D289" s="127" t="s">
        <v>148</v>
      </c>
      <c r="E289" s="127">
        <v>1</v>
      </c>
      <c r="F289" s="127">
        <v>3</v>
      </c>
      <c r="G289" s="130" t="s">
        <v>85</v>
      </c>
    </row>
    <row r="290" spans="2:7" x14ac:dyDescent="0.25">
      <c r="B290" s="126" t="s">
        <v>147</v>
      </c>
      <c r="C290" s="127">
        <v>32</v>
      </c>
      <c r="D290" s="127" t="s">
        <v>161</v>
      </c>
      <c r="E290" s="127">
        <v>2</v>
      </c>
      <c r="F290" s="127">
        <v>0</v>
      </c>
      <c r="G290" s="130" t="s">
        <v>93</v>
      </c>
    </row>
    <row r="291" spans="2:7" x14ac:dyDescent="0.25">
      <c r="B291" s="126" t="s">
        <v>147</v>
      </c>
      <c r="C291" s="127">
        <v>33</v>
      </c>
      <c r="D291" s="127" t="s">
        <v>91</v>
      </c>
      <c r="E291" s="127">
        <v>2</v>
      </c>
      <c r="F291" s="127">
        <v>1</v>
      </c>
      <c r="G291" s="130" t="s">
        <v>79</v>
      </c>
    </row>
    <row r="292" spans="2:7" x14ac:dyDescent="0.25">
      <c r="B292" s="126" t="s">
        <v>147</v>
      </c>
      <c r="C292" s="127">
        <v>33</v>
      </c>
      <c r="D292" s="127" t="s">
        <v>85</v>
      </c>
      <c r="E292" s="127">
        <v>2</v>
      </c>
      <c r="F292" s="127">
        <v>1</v>
      </c>
      <c r="G292" s="130" t="s">
        <v>80</v>
      </c>
    </row>
    <row r="293" spans="2:7" x14ac:dyDescent="0.25">
      <c r="B293" s="126" t="s">
        <v>147</v>
      </c>
      <c r="C293" s="127">
        <v>33</v>
      </c>
      <c r="D293" s="127" t="s">
        <v>83</v>
      </c>
      <c r="E293" s="127">
        <v>2</v>
      </c>
      <c r="F293" s="127">
        <v>0</v>
      </c>
      <c r="G293" s="130" t="s">
        <v>86</v>
      </c>
    </row>
    <row r="294" spans="2:7" x14ac:dyDescent="0.25">
      <c r="B294" s="126" t="s">
        <v>147</v>
      </c>
      <c r="C294" s="127">
        <v>33</v>
      </c>
      <c r="D294" s="127" t="s">
        <v>92</v>
      </c>
      <c r="E294" s="127">
        <v>1</v>
      </c>
      <c r="F294" s="127">
        <v>2</v>
      </c>
      <c r="G294" s="130" t="s">
        <v>172</v>
      </c>
    </row>
    <row r="295" spans="2:7" x14ac:dyDescent="0.25">
      <c r="B295" s="126" t="s">
        <v>147</v>
      </c>
      <c r="C295" s="127">
        <v>33</v>
      </c>
      <c r="D295" s="127" t="s">
        <v>88</v>
      </c>
      <c r="E295" s="127">
        <v>0</v>
      </c>
      <c r="F295" s="127">
        <v>0</v>
      </c>
      <c r="G295" s="130" t="s">
        <v>84</v>
      </c>
    </row>
    <row r="296" spans="2:7" x14ac:dyDescent="0.25">
      <c r="B296" s="126" t="s">
        <v>147</v>
      </c>
      <c r="C296" s="127">
        <v>33</v>
      </c>
      <c r="D296" s="127" t="s">
        <v>94</v>
      </c>
      <c r="E296" s="127">
        <v>2</v>
      </c>
      <c r="F296" s="127">
        <v>1</v>
      </c>
      <c r="G296" s="130" t="s">
        <v>173</v>
      </c>
    </row>
    <row r="297" spans="2:7" x14ac:dyDescent="0.25">
      <c r="B297" s="126" t="s">
        <v>147</v>
      </c>
      <c r="C297" s="127">
        <v>33</v>
      </c>
      <c r="D297" s="127" t="s">
        <v>90</v>
      </c>
      <c r="E297" s="127">
        <v>2</v>
      </c>
      <c r="F297" s="127">
        <v>0</v>
      </c>
      <c r="G297" s="130" t="s">
        <v>161</v>
      </c>
    </row>
    <row r="298" spans="2:7" x14ac:dyDescent="0.25">
      <c r="B298" s="126" t="s">
        <v>147</v>
      </c>
      <c r="C298" s="127">
        <v>33</v>
      </c>
      <c r="D298" s="127" t="s">
        <v>93</v>
      </c>
      <c r="E298" s="127">
        <v>1</v>
      </c>
      <c r="F298" s="127">
        <v>0</v>
      </c>
      <c r="G298" s="130" t="s">
        <v>148</v>
      </c>
    </row>
    <row r="299" spans="2:7" x14ac:dyDescent="0.25">
      <c r="B299" s="126" t="s">
        <v>147</v>
      </c>
      <c r="C299" s="127">
        <v>33</v>
      </c>
      <c r="D299" s="127" t="s">
        <v>87</v>
      </c>
      <c r="E299" s="127">
        <v>0</v>
      </c>
      <c r="F299" s="127">
        <v>2</v>
      </c>
      <c r="G299" s="130" t="s">
        <v>82</v>
      </c>
    </row>
    <row r="300" spans="2:7" x14ac:dyDescent="0.25">
      <c r="B300" s="126" t="s">
        <v>147</v>
      </c>
      <c r="C300" s="127">
        <v>34</v>
      </c>
      <c r="D300" s="127" t="s">
        <v>173</v>
      </c>
      <c r="E300" s="127">
        <v>2</v>
      </c>
      <c r="F300" s="127">
        <v>0</v>
      </c>
      <c r="G300" s="130" t="s">
        <v>93</v>
      </c>
    </row>
    <row r="301" spans="2:7" x14ac:dyDescent="0.25">
      <c r="B301" s="126" t="s">
        <v>147</v>
      </c>
      <c r="C301" s="127">
        <v>34</v>
      </c>
      <c r="D301" s="127" t="s">
        <v>84</v>
      </c>
      <c r="E301" s="127">
        <v>2</v>
      </c>
      <c r="F301" s="127">
        <v>1</v>
      </c>
      <c r="G301" s="130" t="s">
        <v>83</v>
      </c>
    </row>
    <row r="302" spans="2:7" x14ac:dyDescent="0.25">
      <c r="B302" s="126" t="s">
        <v>147</v>
      </c>
      <c r="C302" s="127">
        <v>34</v>
      </c>
      <c r="D302" s="127" t="s">
        <v>161</v>
      </c>
      <c r="E302" s="127">
        <v>2</v>
      </c>
      <c r="F302" s="127">
        <v>2</v>
      </c>
      <c r="G302" s="130" t="s">
        <v>85</v>
      </c>
    </row>
    <row r="303" spans="2:7" x14ac:dyDescent="0.25">
      <c r="B303" s="126" t="s">
        <v>147</v>
      </c>
      <c r="C303" s="127">
        <v>34</v>
      </c>
      <c r="D303" s="127" t="s">
        <v>79</v>
      </c>
      <c r="E303" s="127">
        <v>2</v>
      </c>
      <c r="F303" s="127">
        <v>0</v>
      </c>
      <c r="G303" s="130" t="s">
        <v>90</v>
      </c>
    </row>
    <row r="304" spans="2:7" x14ac:dyDescent="0.25">
      <c r="B304" s="126" t="s">
        <v>147</v>
      </c>
      <c r="C304" s="127">
        <v>34</v>
      </c>
      <c r="D304" s="127" t="s">
        <v>82</v>
      </c>
      <c r="E304" s="127">
        <v>1</v>
      </c>
      <c r="F304" s="127">
        <v>3</v>
      </c>
      <c r="G304" s="130" t="s">
        <v>92</v>
      </c>
    </row>
    <row r="305" spans="2:7" x14ac:dyDescent="0.25">
      <c r="B305" s="126" t="s">
        <v>147</v>
      </c>
      <c r="C305" s="127">
        <v>34</v>
      </c>
      <c r="D305" s="127" t="s">
        <v>86</v>
      </c>
      <c r="E305" s="127">
        <v>2</v>
      </c>
      <c r="F305" s="127">
        <v>1</v>
      </c>
      <c r="G305" s="130" t="s">
        <v>88</v>
      </c>
    </row>
    <row r="306" spans="2:7" x14ac:dyDescent="0.25">
      <c r="B306" s="126" t="s">
        <v>147</v>
      </c>
      <c r="C306" s="127">
        <v>34</v>
      </c>
      <c r="D306" s="127" t="s">
        <v>80</v>
      </c>
      <c r="E306" s="127">
        <v>3</v>
      </c>
      <c r="F306" s="127">
        <v>2</v>
      </c>
      <c r="G306" s="130" t="s">
        <v>87</v>
      </c>
    </row>
    <row r="307" spans="2:7" x14ac:dyDescent="0.25">
      <c r="B307" s="126" t="s">
        <v>147</v>
      </c>
      <c r="C307" s="127">
        <v>34</v>
      </c>
      <c r="D307" s="127" t="s">
        <v>172</v>
      </c>
      <c r="E307" s="127">
        <v>2</v>
      </c>
      <c r="F307" s="127">
        <v>1</v>
      </c>
      <c r="G307" s="130" t="s">
        <v>91</v>
      </c>
    </row>
    <row r="308" spans="2:7" x14ac:dyDescent="0.25">
      <c r="B308" s="126" t="s">
        <v>147</v>
      </c>
      <c r="C308" s="127">
        <v>34</v>
      </c>
      <c r="D308" s="127" t="s">
        <v>148</v>
      </c>
      <c r="E308" s="127">
        <v>1</v>
      </c>
      <c r="F308" s="127">
        <v>2</v>
      </c>
      <c r="G308" s="130" t="s">
        <v>94</v>
      </c>
    </row>
    <row r="309" spans="2:7" x14ac:dyDescent="0.25">
      <c r="B309" s="126" t="s">
        <v>78</v>
      </c>
      <c r="C309" s="127">
        <v>1</v>
      </c>
      <c r="D309" s="127" t="s">
        <v>79</v>
      </c>
      <c r="E309" s="127">
        <v>5</v>
      </c>
      <c r="F309" s="127">
        <v>0</v>
      </c>
      <c r="G309" s="130" t="s">
        <v>173</v>
      </c>
    </row>
    <row r="310" spans="2:7" x14ac:dyDescent="0.25">
      <c r="B310" s="126" t="s">
        <v>78</v>
      </c>
      <c r="C310" s="127">
        <v>1</v>
      </c>
      <c r="D310" s="127" t="s">
        <v>90</v>
      </c>
      <c r="E310" s="127">
        <v>0</v>
      </c>
      <c r="F310" s="127">
        <v>1</v>
      </c>
      <c r="G310" s="130" t="s">
        <v>140</v>
      </c>
    </row>
    <row r="311" spans="2:7" x14ac:dyDescent="0.25">
      <c r="B311" s="126" t="s">
        <v>78</v>
      </c>
      <c r="C311" s="127">
        <v>1</v>
      </c>
      <c r="D311" s="127" t="s">
        <v>139</v>
      </c>
      <c r="E311" s="127">
        <v>2</v>
      </c>
      <c r="F311" s="127">
        <v>2</v>
      </c>
      <c r="G311" s="130" t="s">
        <v>172</v>
      </c>
    </row>
    <row r="312" spans="2:7" x14ac:dyDescent="0.25">
      <c r="B312" s="126" t="s">
        <v>78</v>
      </c>
      <c r="C312" s="127">
        <v>1</v>
      </c>
      <c r="D312" s="127" t="s">
        <v>87</v>
      </c>
      <c r="E312" s="127">
        <v>0</v>
      </c>
      <c r="F312" s="127">
        <v>3</v>
      </c>
      <c r="G312" s="130" t="s">
        <v>93</v>
      </c>
    </row>
    <row r="313" spans="2:7" x14ac:dyDescent="0.25">
      <c r="B313" s="126" t="s">
        <v>78</v>
      </c>
      <c r="C313" s="127">
        <v>1</v>
      </c>
      <c r="D313" s="127" t="s">
        <v>92</v>
      </c>
      <c r="E313" s="127">
        <v>0</v>
      </c>
      <c r="F313" s="127">
        <v>1</v>
      </c>
      <c r="G313" s="130" t="s">
        <v>88</v>
      </c>
    </row>
    <row r="314" spans="2:7" x14ac:dyDescent="0.25">
      <c r="B314" s="126" t="s">
        <v>78</v>
      </c>
      <c r="C314" s="127">
        <v>1</v>
      </c>
      <c r="D314" s="127" t="s">
        <v>83</v>
      </c>
      <c r="E314" s="127">
        <v>2</v>
      </c>
      <c r="F314" s="127">
        <v>1</v>
      </c>
      <c r="G314" s="130" t="s">
        <v>86</v>
      </c>
    </row>
    <row r="315" spans="2:7" x14ac:dyDescent="0.25">
      <c r="B315" s="126" t="s">
        <v>78</v>
      </c>
      <c r="C315" s="127">
        <v>1</v>
      </c>
      <c r="D315" s="127" t="s">
        <v>80</v>
      </c>
      <c r="E315" s="127">
        <v>4</v>
      </c>
      <c r="F315" s="127">
        <v>0</v>
      </c>
      <c r="G315" s="130" t="s">
        <v>82</v>
      </c>
    </row>
    <row r="316" spans="2:7" x14ac:dyDescent="0.25">
      <c r="B316" s="126" t="s">
        <v>78</v>
      </c>
      <c r="C316" s="127">
        <v>1</v>
      </c>
      <c r="D316" s="127" t="s">
        <v>85</v>
      </c>
      <c r="E316" s="127">
        <v>2</v>
      </c>
      <c r="F316" s="127">
        <v>1</v>
      </c>
      <c r="G316" s="130" t="s">
        <v>84</v>
      </c>
    </row>
    <row r="317" spans="2:7" x14ac:dyDescent="0.25">
      <c r="B317" s="126" t="s">
        <v>78</v>
      </c>
      <c r="C317" s="127">
        <v>1</v>
      </c>
      <c r="D317" s="127" t="s">
        <v>94</v>
      </c>
      <c r="E317" s="127">
        <v>1</v>
      </c>
      <c r="F317" s="127">
        <v>3</v>
      </c>
      <c r="G317" s="130" t="s">
        <v>161</v>
      </c>
    </row>
    <row r="318" spans="2:7" x14ac:dyDescent="0.25">
      <c r="B318" s="126" t="s">
        <v>78</v>
      </c>
      <c r="C318" s="127">
        <v>2</v>
      </c>
      <c r="D318" s="127" t="s">
        <v>88</v>
      </c>
      <c r="E318" s="127">
        <v>1</v>
      </c>
      <c r="F318" s="127">
        <v>1</v>
      </c>
      <c r="G318" s="130" t="s">
        <v>87</v>
      </c>
    </row>
    <row r="319" spans="2:7" x14ac:dyDescent="0.25">
      <c r="B319" s="126" t="s">
        <v>78</v>
      </c>
      <c r="C319" s="127">
        <v>2</v>
      </c>
      <c r="D319" s="127" t="s">
        <v>93</v>
      </c>
      <c r="E319" s="127">
        <v>1</v>
      </c>
      <c r="F319" s="127">
        <v>1</v>
      </c>
      <c r="G319" s="130" t="s">
        <v>139</v>
      </c>
    </row>
    <row r="320" spans="2:7" x14ac:dyDescent="0.25">
      <c r="B320" s="126" t="s">
        <v>78</v>
      </c>
      <c r="C320" s="127">
        <v>2</v>
      </c>
      <c r="D320" s="127" t="s">
        <v>84</v>
      </c>
      <c r="E320" s="127">
        <v>1</v>
      </c>
      <c r="F320" s="127">
        <v>1</v>
      </c>
      <c r="G320" s="130" t="s">
        <v>92</v>
      </c>
    </row>
    <row r="321" spans="2:7" x14ac:dyDescent="0.25">
      <c r="B321" s="126" t="s">
        <v>78</v>
      </c>
      <c r="C321" s="127">
        <v>2</v>
      </c>
      <c r="D321" s="127" t="s">
        <v>161</v>
      </c>
      <c r="E321" s="127">
        <v>1</v>
      </c>
      <c r="F321" s="127">
        <v>1</v>
      </c>
      <c r="G321" s="130" t="s">
        <v>85</v>
      </c>
    </row>
    <row r="322" spans="2:7" x14ac:dyDescent="0.25">
      <c r="B322" s="126" t="s">
        <v>78</v>
      </c>
      <c r="C322" s="127">
        <v>2</v>
      </c>
      <c r="D322" s="127" t="s">
        <v>172</v>
      </c>
      <c r="E322" s="127">
        <v>0</v>
      </c>
      <c r="F322" s="127">
        <v>1</v>
      </c>
      <c r="G322" s="130" t="s">
        <v>83</v>
      </c>
    </row>
    <row r="323" spans="2:7" x14ac:dyDescent="0.25">
      <c r="B323" s="126" t="s">
        <v>78</v>
      </c>
      <c r="C323" s="127">
        <v>2</v>
      </c>
      <c r="D323" s="127" t="s">
        <v>86</v>
      </c>
      <c r="E323" s="127">
        <v>1</v>
      </c>
      <c r="F323" s="127">
        <v>2</v>
      </c>
      <c r="G323" s="130" t="s">
        <v>79</v>
      </c>
    </row>
    <row r="324" spans="2:7" x14ac:dyDescent="0.25">
      <c r="B324" s="126" t="s">
        <v>78</v>
      </c>
      <c r="C324" s="127">
        <v>2</v>
      </c>
      <c r="D324" s="127" t="s">
        <v>173</v>
      </c>
      <c r="E324" s="127">
        <v>3</v>
      </c>
      <c r="F324" s="127">
        <v>2</v>
      </c>
      <c r="G324" s="130" t="s">
        <v>94</v>
      </c>
    </row>
    <row r="325" spans="2:7" x14ac:dyDescent="0.25">
      <c r="B325" s="126" t="s">
        <v>78</v>
      </c>
      <c r="C325" s="127">
        <v>2</v>
      </c>
      <c r="D325" s="127" t="s">
        <v>140</v>
      </c>
      <c r="E325" s="127">
        <v>0</v>
      </c>
      <c r="F325" s="127">
        <v>4</v>
      </c>
      <c r="G325" s="130" t="s">
        <v>80</v>
      </c>
    </row>
    <row r="326" spans="2:7" x14ac:dyDescent="0.25">
      <c r="B326" s="126" t="s">
        <v>78</v>
      </c>
      <c r="C326" s="127">
        <v>2</v>
      </c>
      <c r="D326" s="127" t="s">
        <v>82</v>
      </c>
      <c r="E326" s="127">
        <v>1</v>
      </c>
      <c r="F326" s="127">
        <v>2</v>
      </c>
      <c r="G326" s="130" t="s">
        <v>90</v>
      </c>
    </row>
    <row r="327" spans="2:7" x14ac:dyDescent="0.25">
      <c r="B327" s="126" t="s">
        <v>78</v>
      </c>
      <c r="C327" s="127">
        <v>3</v>
      </c>
      <c r="D327" s="127" t="s">
        <v>85</v>
      </c>
      <c r="E327" s="127">
        <v>3</v>
      </c>
      <c r="F327" s="127">
        <v>0</v>
      </c>
      <c r="G327" s="130" t="s">
        <v>93</v>
      </c>
    </row>
    <row r="328" spans="2:7" x14ac:dyDescent="0.25">
      <c r="B328" s="126" t="s">
        <v>78</v>
      </c>
      <c r="C328" s="127">
        <v>3</v>
      </c>
      <c r="D328" s="127" t="s">
        <v>94</v>
      </c>
      <c r="E328" s="127">
        <v>1</v>
      </c>
      <c r="F328" s="127">
        <v>4</v>
      </c>
      <c r="G328" s="130" t="s">
        <v>84</v>
      </c>
    </row>
    <row r="329" spans="2:7" x14ac:dyDescent="0.25">
      <c r="B329" s="126" t="s">
        <v>78</v>
      </c>
      <c r="C329" s="127">
        <v>3</v>
      </c>
      <c r="D329" s="127" t="s">
        <v>92</v>
      </c>
      <c r="E329" s="127">
        <v>0</v>
      </c>
      <c r="F329" s="127">
        <v>1</v>
      </c>
      <c r="G329" s="130" t="s">
        <v>140</v>
      </c>
    </row>
    <row r="330" spans="2:7" x14ac:dyDescent="0.25">
      <c r="B330" s="126" t="s">
        <v>78</v>
      </c>
      <c r="C330" s="127">
        <v>3</v>
      </c>
      <c r="D330" s="127" t="s">
        <v>161</v>
      </c>
      <c r="E330" s="127">
        <v>2</v>
      </c>
      <c r="F330" s="127">
        <v>1</v>
      </c>
      <c r="G330" s="130" t="s">
        <v>173</v>
      </c>
    </row>
    <row r="331" spans="2:7" x14ac:dyDescent="0.25">
      <c r="B331" s="126" t="s">
        <v>78</v>
      </c>
      <c r="C331" s="127">
        <v>3</v>
      </c>
      <c r="D331" s="127" t="s">
        <v>90</v>
      </c>
      <c r="E331" s="127">
        <v>3</v>
      </c>
      <c r="F331" s="127">
        <v>0</v>
      </c>
      <c r="G331" s="130" t="s">
        <v>172</v>
      </c>
    </row>
    <row r="332" spans="2:7" x14ac:dyDescent="0.25">
      <c r="B332" s="126" t="s">
        <v>78</v>
      </c>
      <c r="C332" s="127">
        <v>3</v>
      </c>
      <c r="D332" s="127" t="s">
        <v>139</v>
      </c>
      <c r="E332" s="127">
        <v>0</v>
      </c>
      <c r="F332" s="127">
        <v>0</v>
      </c>
      <c r="G332" s="130" t="s">
        <v>86</v>
      </c>
    </row>
    <row r="333" spans="2:7" x14ac:dyDescent="0.25">
      <c r="B333" s="126" t="s">
        <v>78</v>
      </c>
      <c r="C333" s="127">
        <v>3</v>
      </c>
      <c r="D333" s="127" t="s">
        <v>79</v>
      </c>
      <c r="E333" s="127">
        <v>3</v>
      </c>
      <c r="F333" s="127">
        <v>0</v>
      </c>
      <c r="G333" s="130" t="s">
        <v>83</v>
      </c>
    </row>
    <row r="334" spans="2:7" x14ac:dyDescent="0.25">
      <c r="B334" s="126" t="s">
        <v>78</v>
      </c>
      <c r="C334" s="127">
        <v>3</v>
      </c>
      <c r="D334" s="127" t="s">
        <v>80</v>
      </c>
      <c r="E334" s="127">
        <v>3</v>
      </c>
      <c r="F334" s="127">
        <v>1</v>
      </c>
      <c r="G334" s="130" t="s">
        <v>88</v>
      </c>
    </row>
    <row r="335" spans="2:7" x14ac:dyDescent="0.25">
      <c r="B335" s="126" t="s">
        <v>78</v>
      </c>
      <c r="C335" s="127">
        <v>3</v>
      </c>
      <c r="D335" s="127" t="s">
        <v>87</v>
      </c>
      <c r="E335" s="127">
        <v>2</v>
      </c>
      <c r="F335" s="127">
        <v>1</v>
      </c>
      <c r="G335" s="130" t="s">
        <v>82</v>
      </c>
    </row>
    <row r="336" spans="2:7" x14ac:dyDescent="0.25">
      <c r="B336" s="126" t="s">
        <v>78</v>
      </c>
      <c r="C336" s="127">
        <v>4</v>
      </c>
      <c r="D336" s="127" t="s">
        <v>82</v>
      </c>
      <c r="E336" s="127">
        <v>0</v>
      </c>
      <c r="F336" s="127">
        <v>3</v>
      </c>
      <c r="G336" s="130" t="s">
        <v>173</v>
      </c>
    </row>
    <row r="337" spans="2:7" x14ac:dyDescent="0.25">
      <c r="B337" s="126" t="s">
        <v>78</v>
      </c>
      <c r="C337" s="127">
        <v>4</v>
      </c>
      <c r="D337" s="127" t="s">
        <v>79</v>
      </c>
      <c r="E337" s="127">
        <v>2</v>
      </c>
      <c r="F337" s="127">
        <v>1</v>
      </c>
      <c r="G337" s="130" t="s">
        <v>92</v>
      </c>
    </row>
    <row r="338" spans="2:7" x14ac:dyDescent="0.25">
      <c r="B338" s="126" t="s">
        <v>78</v>
      </c>
      <c r="C338" s="127">
        <v>4</v>
      </c>
      <c r="D338" s="127" t="s">
        <v>83</v>
      </c>
      <c r="E338" s="127">
        <v>0</v>
      </c>
      <c r="F338" s="127">
        <v>1</v>
      </c>
      <c r="G338" s="130" t="s">
        <v>139</v>
      </c>
    </row>
    <row r="339" spans="2:7" x14ac:dyDescent="0.25">
      <c r="B339" s="126" t="s">
        <v>78</v>
      </c>
      <c r="C339" s="127">
        <v>4</v>
      </c>
      <c r="D339" s="127" t="s">
        <v>172</v>
      </c>
      <c r="E339" s="127">
        <v>2</v>
      </c>
      <c r="F339" s="127">
        <v>4</v>
      </c>
      <c r="G339" s="130" t="s">
        <v>80</v>
      </c>
    </row>
    <row r="340" spans="2:7" x14ac:dyDescent="0.25">
      <c r="B340" s="126" t="s">
        <v>78</v>
      </c>
      <c r="C340" s="127">
        <v>4</v>
      </c>
      <c r="D340" s="127" t="s">
        <v>88</v>
      </c>
      <c r="E340" s="127">
        <v>2</v>
      </c>
      <c r="F340" s="127">
        <v>1</v>
      </c>
      <c r="G340" s="130" t="s">
        <v>94</v>
      </c>
    </row>
    <row r="341" spans="2:7" x14ac:dyDescent="0.25">
      <c r="B341" s="126" t="s">
        <v>78</v>
      </c>
      <c r="C341" s="127">
        <v>4</v>
      </c>
      <c r="D341" s="127" t="s">
        <v>140</v>
      </c>
      <c r="E341" s="127">
        <v>0</v>
      </c>
      <c r="F341" s="127">
        <v>0</v>
      </c>
      <c r="G341" s="130" t="s">
        <v>85</v>
      </c>
    </row>
    <row r="342" spans="2:7" x14ac:dyDescent="0.25">
      <c r="B342" s="126" t="s">
        <v>78</v>
      </c>
      <c r="C342" s="127">
        <v>4</v>
      </c>
      <c r="D342" s="127" t="s">
        <v>84</v>
      </c>
      <c r="E342" s="127">
        <v>6</v>
      </c>
      <c r="F342" s="127">
        <v>2</v>
      </c>
      <c r="G342" s="130" t="s">
        <v>161</v>
      </c>
    </row>
    <row r="343" spans="2:7" x14ac:dyDescent="0.25">
      <c r="B343" s="126" t="s">
        <v>78</v>
      </c>
      <c r="C343" s="127">
        <v>4</v>
      </c>
      <c r="D343" s="127" t="s">
        <v>86</v>
      </c>
      <c r="E343" s="127">
        <v>1</v>
      </c>
      <c r="F343" s="127">
        <v>3</v>
      </c>
      <c r="G343" s="130" t="s">
        <v>87</v>
      </c>
    </row>
    <row r="344" spans="2:7" x14ac:dyDescent="0.25">
      <c r="B344" s="126" t="s">
        <v>78</v>
      </c>
      <c r="C344" s="127">
        <v>4</v>
      </c>
      <c r="D344" s="127" t="s">
        <v>93</v>
      </c>
      <c r="E344" s="127">
        <v>2</v>
      </c>
      <c r="F344" s="127">
        <v>1</v>
      </c>
      <c r="G344" s="130" t="s">
        <v>90</v>
      </c>
    </row>
    <row r="345" spans="2:7" x14ac:dyDescent="0.25">
      <c r="B345" s="126" t="s">
        <v>78</v>
      </c>
      <c r="C345" s="127">
        <v>5</v>
      </c>
      <c r="D345" s="127" t="s">
        <v>90</v>
      </c>
      <c r="E345" s="127">
        <v>3</v>
      </c>
      <c r="F345" s="127">
        <v>1</v>
      </c>
      <c r="G345" s="130" t="s">
        <v>86</v>
      </c>
    </row>
    <row r="346" spans="2:7" x14ac:dyDescent="0.25">
      <c r="B346" s="126" t="s">
        <v>78</v>
      </c>
      <c r="C346" s="127">
        <v>5</v>
      </c>
      <c r="D346" s="127" t="s">
        <v>85</v>
      </c>
      <c r="E346" s="127">
        <v>2</v>
      </c>
      <c r="F346" s="127">
        <v>0</v>
      </c>
      <c r="G346" s="130" t="s">
        <v>88</v>
      </c>
    </row>
    <row r="347" spans="2:7" x14ac:dyDescent="0.25">
      <c r="B347" s="126" t="s">
        <v>78</v>
      </c>
      <c r="C347" s="127">
        <v>5</v>
      </c>
      <c r="D347" s="127" t="s">
        <v>173</v>
      </c>
      <c r="E347" s="127">
        <v>0</v>
      </c>
      <c r="F347" s="127">
        <v>0</v>
      </c>
      <c r="G347" s="130" t="s">
        <v>84</v>
      </c>
    </row>
    <row r="348" spans="2:7" x14ac:dyDescent="0.25">
      <c r="B348" s="126" t="s">
        <v>78</v>
      </c>
      <c r="C348" s="127">
        <v>5</v>
      </c>
      <c r="D348" s="127" t="s">
        <v>87</v>
      </c>
      <c r="E348" s="127">
        <v>0</v>
      </c>
      <c r="F348" s="127">
        <v>1</v>
      </c>
      <c r="G348" s="130" t="s">
        <v>140</v>
      </c>
    </row>
    <row r="349" spans="2:7" x14ac:dyDescent="0.25">
      <c r="B349" s="126" t="s">
        <v>78</v>
      </c>
      <c r="C349" s="127">
        <v>5</v>
      </c>
      <c r="D349" s="127" t="s">
        <v>161</v>
      </c>
      <c r="E349" s="127">
        <v>1</v>
      </c>
      <c r="F349" s="127">
        <v>0</v>
      </c>
      <c r="G349" s="130" t="s">
        <v>82</v>
      </c>
    </row>
    <row r="350" spans="2:7" x14ac:dyDescent="0.25">
      <c r="B350" s="126" t="s">
        <v>78</v>
      </c>
      <c r="C350" s="127">
        <v>5</v>
      </c>
      <c r="D350" s="127" t="s">
        <v>139</v>
      </c>
      <c r="E350" s="127">
        <v>0</v>
      </c>
      <c r="F350" s="127">
        <v>3</v>
      </c>
      <c r="G350" s="130" t="s">
        <v>79</v>
      </c>
    </row>
    <row r="351" spans="2:7" x14ac:dyDescent="0.25">
      <c r="B351" s="126" t="s">
        <v>78</v>
      </c>
      <c r="C351" s="127">
        <v>5</v>
      </c>
      <c r="D351" s="127" t="s">
        <v>94</v>
      </c>
      <c r="E351" s="127">
        <v>0</v>
      </c>
      <c r="F351" s="127">
        <v>1</v>
      </c>
      <c r="G351" s="130" t="s">
        <v>93</v>
      </c>
    </row>
    <row r="352" spans="2:7" x14ac:dyDescent="0.25">
      <c r="B352" s="126" t="s">
        <v>78</v>
      </c>
      <c r="C352" s="127">
        <v>5</v>
      </c>
      <c r="D352" s="127" t="s">
        <v>80</v>
      </c>
      <c r="E352" s="127">
        <v>3</v>
      </c>
      <c r="F352" s="127">
        <v>0</v>
      </c>
      <c r="G352" s="130" t="s">
        <v>83</v>
      </c>
    </row>
    <row r="353" spans="2:7" x14ac:dyDescent="0.25">
      <c r="B353" s="126" t="s">
        <v>78</v>
      </c>
      <c r="C353" s="127">
        <v>5</v>
      </c>
      <c r="D353" s="127" t="s">
        <v>92</v>
      </c>
      <c r="E353" s="127">
        <v>2</v>
      </c>
      <c r="F353" s="127">
        <v>0</v>
      </c>
      <c r="G353" s="130" t="s">
        <v>172</v>
      </c>
    </row>
    <row r="354" spans="2:7" x14ac:dyDescent="0.25">
      <c r="B354" s="126" t="s">
        <v>78</v>
      </c>
      <c r="C354" s="127">
        <v>6</v>
      </c>
      <c r="D354" s="127" t="s">
        <v>79</v>
      </c>
      <c r="E354" s="127">
        <v>5</v>
      </c>
      <c r="F354" s="127">
        <v>1</v>
      </c>
      <c r="G354" s="130" t="s">
        <v>85</v>
      </c>
    </row>
    <row r="355" spans="2:7" x14ac:dyDescent="0.25">
      <c r="B355" s="126" t="s">
        <v>78</v>
      </c>
      <c r="C355" s="127">
        <v>6</v>
      </c>
      <c r="D355" s="127" t="s">
        <v>88</v>
      </c>
      <c r="E355" s="127">
        <v>2</v>
      </c>
      <c r="F355" s="127">
        <v>0</v>
      </c>
      <c r="G355" s="130" t="s">
        <v>161</v>
      </c>
    </row>
    <row r="356" spans="2:7" x14ac:dyDescent="0.25">
      <c r="B356" s="126" t="s">
        <v>78</v>
      </c>
      <c r="C356" s="127">
        <v>6</v>
      </c>
      <c r="D356" s="127" t="s">
        <v>140</v>
      </c>
      <c r="E356" s="127">
        <v>0</v>
      </c>
      <c r="F356" s="127">
        <v>1</v>
      </c>
      <c r="G356" s="130" t="s">
        <v>173</v>
      </c>
    </row>
    <row r="357" spans="2:7" x14ac:dyDescent="0.25">
      <c r="B357" s="126" t="s">
        <v>78</v>
      </c>
      <c r="C357" s="127">
        <v>6</v>
      </c>
      <c r="D357" s="127" t="s">
        <v>139</v>
      </c>
      <c r="E357" s="127">
        <v>2</v>
      </c>
      <c r="F357" s="127">
        <v>1</v>
      </c>
      <c r="G357" s="130" t="s">
        <v>87</v>
      </c>
    </row>
    <row r="358" spans="2:7" x14ac:dyDescent="0.25">
      <c r="B358" s="126" t="s">
        <v>78</v>
      </c>
      <c r="C358" s="127">
        <v>6</v>
      </c>
      <c r="D358" s="127" t="s">
        <v>93</v>
      </c>
      <c r="E358" s="127">
        <v>2</v>
      </c>
      <c r="F358" s="127">
        <v>0</v>
      </c>
      <c r="G358" s="130" t="s">
        <v>84</v>
      </c>
    </row>
    <row r="359" spans="2:7" x14ac:dyDescent="0.25">
      <c r="B359" s="126" t="s">
        <v>78</v>
      </c>
      <c r="C359" s="127">
        <v>6</v>
      </c>
      <c r="D359" s="127" t="s">
        <v>83</v>
      </c>
      <c r="E359" s="127">
        <v>1</v>
      </c>
      <c r="F359" s="127">
        <v>0</v>
      </c>
      <c r="G359" s="130" t="s">
        <v>90</v>
      </c>
    </row>
    <row r="360" spans="2:7" x14ac:dyDescent="0.25">
      <c r="B360" s="126" t="s">
        <v>78</v>
      </c>
      <c r="C360" s="127">
        <v>6</v>
      </c>
      <c r="D360" s="127" t="s">
        <v>82</v>
      </c>
      <c r="E360" s="127">
        <v>4</v>
      </c>
      <c r="F360" s="127">
        <v>2</v>
      </c>
      <c r="G360" s="130" t="s">
        <v>92</v>
      </c>
    </row>
    <row r="361" spans="2:7" x14ac:dyDescent="0.25">
      <c r="B361" s="126" t="s">
        <v>78</v>
      </c>
      <c r="C361" s="127">
        <v>6</v>
      </c>
      <c r="D361" s="127" t="s">
        <v>172</v>
      </c>
      <c r="E361" s="127">
        <v>1</v>
      </c>
      <c r="F361" s="127">
        <v>3</v>
      </c>
      <c r="G361" s="130" t="s">
        <v>94</v>
      </c>
    </row>
    <row r="362" spans="2:7" x14ac:dyDescent="0.25">
      <c r="B362" s="126" t="s">
        <v>78</v>
      </c>
      <c r="C362" s="127">
        <v>6</v>
      </c>
      <c r="D362" s="127" t="s">
        <v>86</v>
      </c>
      <c r="E362" s="127">
        <v>1</v>
      </c>
      <c r="F362" s="127">
        <v>1</v>
      </c>
      <c r="G362" s="130" t="s">
        <v>80</v>
      </c>
    </row>
    <row r="363" spans="2:7" x14ac:dyDescent="0.25">
      <c r="B363" s="126" t="s">
        <v>78</v>
      </c>
      <c r="C363" s="127">
        <v>7</v>
      </c>
      <c r="D363" s="127" t="s">
        <v>161</v>
      </c>
      <c r="E363" s="127">
        <v>1</v>
      </c>
      <c r="F363" s="127">
        <v>1</v>
      </c>
      <c r="G363" s="130" t="s">
        <v>140</v>
      </c>
    </row>
    <row r="364" spans="2:7" x14ac:dyDescent="0.25">
      <c r="B364" s="126" t="s">
        <v>78</v>
      </c>
      <c r="C364" s="127">
        <v>7</v>
      </c>
      <c r="D364" s="127" t="s">
        <v>85</v>
      </c>
      <c r="E364" s="127">
        <v>1</v>
      </c>
      <c r="F364" s="127">
        <v>1</v>
      </c>
      <c r="G364" s="130" t="s">
        <v>172</v>
      </c>
    </row>
    <row r="365" spans="2:7" x14ac:dyDescent="0.25">
      <c r="B365" s="126" t="s">
        <v>78</v>
      </c>
      <c r="C365" s="127">
        <v>7</v>
      </c>
      <c r="D365" s="127" t="s">
        <v>94</v>
      </c>
      <c r="E365" s="127">
        <v>1</v>
      </c>
      <c r="F365" s="127">
        <v>3</v>
      </c>
      <c r="G365" s="130" t="s">
        <v>82</v>
      </c>
    </row>
    <row r="366" spans="2:7" x14ac:dyDescent="0.25">
      <c r="B366" s="126" t="s">
        <v>78</v>
      </c>
      <c r="C366" s="127">
        <v>7</v>
      </c>
      <c r="D366" s="127" t="s">
        <v>92</v>
      </c>
      <c r="E366" s="127">
        <v>1</v>
      </c>
      <c r="F366" s="127">
        <v>3</v>
      </c>
      <c r="G366" s="130" t="s">
        <v>86</v>
      </c>
    </row>
    <row r="367" spans="2:7" x14ac:dyDescent="0.25">
      <c r="B367" s="126" t="s">
        <v>78</v>
      </c>
      <c r="C367" s="127">
        <v>7</v>
      </c>
      <c r="D367" s="127" t="s">
        <v>87</v>
      </c>
      <c r="E367" s="127">
        <v>0</v>
      </c>
      <c r="F367" s="127">
        <v>3</v>
      </c>
      <c r="G367" s="130" t="s">
        <v>83</v>
      </c>
    </row>
    <row r="368" spans="2:7" x14ac:dyDescent="0.25">
      <c r="B368" s="126" t="s">
        <v>78</v>
      </c>
      <c r="C368" s="127">
        <v>7</v>
      </c>
      <c r="D368" s="127" t="s">
        <v>90</v>
      </c>
      <c r="E368" s="127">
        <v>0</v>
      </c>
      <c r="F368" s="127">
        <v>3</v>
      </c>
      <c r="G368" s="130" t="s">
        <v>79</v>
      </c>
    </row>
    <row r="369" spans="2:7" x14ac:dyDescent="0.25">
      <c r="B369" s="126" t="s">
        <v>78</v>
      </c>
      <c r="C369" s="127">
        <v>7</v>
      </c>
      <c r="D369" s="127" t="s">
        <v>173</v>
      </c>
      <c r="E369" s="127">
        <v>0</v>
      </c>
      <c r="F369" s="127">
        <v>1</v>
      </c>
      <c r="G369" s="130" t="s">
        <v>93</v>
      </c>
    </row>
    <row r="370" spans="2:7" x14ac:dyDescent="0.25">
      <c r="B370" s="126" t="s">
        <v>78</v>
      </c>
      <c r="C370" s="127">
        <v>7</v>
      </c>
      <c r="D370" s="127" t="s">
        <v>84</v>
      </c>
      <c r="E370" s="127">
        <v>1</v>
      </c>
      <c r="F370" s="127">
        <v>1</v>
      </c>
      <c r="G370" s="130" t="s">
        <v>88</v>
      </c>
    </row>
    <row r="371" spans="2:7" x14ac:dyDescent="0.25">
      <c r="B371" s="126" t="s">
        <v>78</v>
      </c>
      <c r="C371" s="127">
        <v>7</v>
      </c>
      <c r="D371" s="127" t="s">
        <v>80</v>
      </c>
      <c r="E371" s="127">
        <v>2</v>
      </c>
      <c r="F371" s="127">
        <v>2</v>
      </c>
      <c r="G371" s="130" t="s">
        <v>139</v>
      </c>
    </row>
    <row r="372" spans="2:7" x14ac:dyDescent="0.25">
      <c r="B372" s="126" t="s">
        <v>78</v>
      </c>
      <c r="C372" s="127">
        <v>8</v>
      </c>
      <c r="D372" s="127" t="s">
        <v>139</v>
      </c>
      <c r="E372" s="127">
        <v>2</v>
      </c>
      <c r="F372" s="127">
        <v>3</v>
      </c>
      <c r="G372" s="130" t="s">
        <v>90</v>
      </c>
    </row>
    <row r="373" spans="2:7" x14ac:dyDescent="0.25">
      <c r="B373" s="126" t="s">
        <v>78</v>
      </c>
      <c r="C373" s="127">
        <v>8</v>
      </c>
      <c r="D373" s="127" t="s">
        <v>82</v>
      </c>
      <c r="E373" s="127">
        <v>2</v>
      </c>
      <c r="F373" s="127">
        <v>0</v>
      </c>
      <c r="G373" s="130" t="s">
        <v>85</v>
      </c>
    </row>
    <row r="374" spans="2:7" x14ac:dyDescent="0.25">
      <c r="B374" s="126" t="s">
        <v>78</v>
      </c>
      <c r="C374" s="127">
        <v>8</v>
      </c>
      <c r="D374" s="127" t="s">
        <v>172</v>
      </c>
      <c r="E374" s="127">
        <v>1</v>
      </c>
      <c r="F374" s="127">
        <v>0</v>
      </c>
      <c r="G374" s="130" t="s">
        <v>87</v>
      </c>
    </row>
    <row r="375" spans="2:7" x14ac:dyDescent="0.25">
      <c r="B375" s="126" t="s">
        <v>78</v>
      </c>
      <c r="C375" s="127">
        <v>8</v>
      </c>
      <c r="D375" s="127" t="s">
        <v>88</v>
      </c>
      <c r="E375" s="127">
        <v>3</v>
      </c>
      <c r="F375" s="127">
        <v>0</v>
      </c>
      <c r="G375" s="130" t="s">
        <v>173</v>
      </c>
    </row>
    <row r="376" spans="2:7" x14ac:dyDescent="0.25">
      <c r="B376" s="126" t="s">
        <v>78</v>
      </c>
      <c r="C376" s="127">
        <v>8</v>
      </c>
      <c r="D376" s="127" t="s">
        <v>86</v>
      </c>
      <c r="E376" s="127">
        <v>2</v>
      </c>
      <c r="F376" s="127">
        <v>2</v>
      </c>
      <c r="G376" s="130" t="s">
        <v>94</v>
      </c>
    </row>
    <row r="377" spans="2:7" x14ac:dyDescent="0.25">
      <c r="B377" s="126" t="s">
        <v>78</v>
      </c>
      <c r="C377" s="127">
        <v>8</v>
      </c>
      <c r="D377" s="127" t="s">
        <v>140</v>
      </c>
      <c r="E377" s="127">
        <v>2</v>
      </c>
      <c r="F377" s="127">
        <v>0</v>
      </c>
      <c r="G377" s="130" t="s">
        <v>84</v>
      </c>
    </row>
    <row r="378" spans="2:7" x14ac:dyDescent="0.25">
      <c r="B378" s="126" t="s">
        <v>78</v>
      </c>
      <c r="C378" s="127">
        <v>8</v>
      </c>
      <c r="D378" s="127" t="s">
        <v>93</v>
      </c>
      <c r="E378" s="127">
        <v>0</v>
      </c>
      <c r="F378" s="127">
        <v>3</v>
      </c>
      <c r="G378" s="130" t="s">
        <v>161</v>
      </c>
    </row>
    <row r="379" spans="2:7" x14ac:dyDescent="0.25">
      <c r="B379" s="126" t="s">
        <v>78</v>
      </c>
      <c r="C379" s="127">
        <v>8</v>
      </c>
      <c r="D379" s="127" t="s">
        <v>79</v>
      </c>
      <c r="E379" s="127">
        <v>5</v>
      </c>
      <c r="F379" s="127">
        <v>1</v>
      </c>
      <c r="G379" s="130" t="s">
        <v>80</v>
      </c>
    </row>
    <row r="380" spans="2:7" x14ac:dyDescent="0.25">
      <c r="B380" s="126" t="s">
        <v>78</v>
      </c>
      <c r="C380" s="127">
        <v>8</v>
      </c>
      <c r="D380" s="127" t="s">
        <v>83</v>
      </c>
      <c r="E380" s="127">
        <v>1</v>
      </c>
      <c r="F380" s="127">
        <v>1</v>
      </c>
      <c r="G380" s="130" t="s">
        <v>92</v>
      </c>
    </row>
    <row r="381" spans="2:7" x14ac:dyDescent="0.25">
      <c r="B381" s="126" t="s">
        <v>78</v>
      </c>
      <c r="C381" s="127">
        <v>9</v>
      </c>
      <c r="D381" s="127" t="s">
        <v>90</v>
      </c>
      <c r="E381" s="127">
        <v>0</v>
      </c>
      <c r="F381" s="127">
        <v>2</v>
      </c>
      <c r="G381" s="130" t="s">
        <v>80</v>
      </c>
    </row>
    <row r="382" spans="2:7" x14ac:dyDescent="0.25">
      <c r="B382" s="126" t="s">
        <v>78</v>
      </c>
      <c r="C382" s="127">
        <v>9</v>
      </c>
      <c r="D382" s="127" t="s">
        <v>93</v>
      </c>
      <c r="E382" s="127">
        <v>2</v>
      </c>
      <c r="F382" s="127">
        <v>1</v>
      </c>
      <c r="G382" s="130" t="s">
        <v>88</v>
      </c>
    </row>
    <row r="383" spans="2:7" x14ac:dyDescent="0.25">
      <c r="B383" s="126" t="s">
        <v>78</v>
      </c>
      <c r="C383" s="127">
        <v>9</v>
      </c>
      <c r="D383" s="127" t="s">
        <v>85</v>
      </c>
      <c r="E383" s="127">
        <v>4</v>
      </c>
      <c r="F383" s="127">
        <v>2</v>
      </c>
      <c r="G383" s="130" t="s">
        <v>86</v>
      </c>
    </row>
    <row r="384" spans="2:7" x14ac:dyDescent="0.25">
      <c r="B384" s="126" t="s">
        <v>78</v>
      </c>
      <c r="C384" s="127">
        <v>9</v>
      </c>
      <c r="D384" s="127" t="s">
        <v>173</v>
      </c>
      <c r="E384" s="127">
        <v>0</v>
      </c>
      <c r="F384" s="127">
        <v>0</v>
      </c>
      <c r="G384" s="130" t="s">
        <v>83</v>
      </c>
    </row>
    <row r="385" spans="2:7" x14ac:dyDescent="0.25">
      <c r="B385" s="126" t="s">
        <v>78</v>
      </c>
      <c r="C385" s="127">
        <v>9</v>
      </c>
      <c r="D385" s="127" t="s">
        <v>92</v>
      </c>
      <c r="E385" s="127">
        <v>0</v>
      </c>
      <c r="F385" s="127">
        <v>2</v>
      </c>
      <c r="G385" s="130" t="s">
        <v>139</v>
      </c>
    </row>
    <row r="386" spans="2:7" x14ac:dyDescent="0.25">
      <c r="B386" s="126" t="s">
        <v>78</v>
      </c>
      <c r="C386" s="127">
        <v>9</v>
      </c>
      <c r="D386" s="127" t="s">
        <v>87</v>
      </c>
      <c r="E386" s="127">
        <v>0</v>
      </c>
      <c r="F386" s="127">
        <v>1</v>
      </c>
      <c r="G386" s="130" t="s">
        <v>79</v>
      </c>
    </row>
    <row r="387" spans="2:7" x14ac:dyDescent="0.25">
      <c r="B387" s="126" t="s">
        <v>78</v>
      </c>
      <c r="C387" s="127">
        <v>9</v>
      </c>
      <c r="D387" s="127" t="s">
        <v>84</v>
      </c>
      <c r="E387" s="127">
        <v>1</v>
      </c>
      <c r="F387" s="127">
        <v>5</v>
      </c>
      <c r="G387" s="130" t="s">
        <v>82</v>
      </c>
    </row>
    <row r="388" spans="2:7" x14ac:dyDescent="0.25">
      <c r="B388" s="126" t="s">
        <v>78</v>
      </c>
      <c r="C388" s="127">
        <v>9</v>
      </c>
      <c r="D388" s="127" t="s">
        <v>161</v>
      </c>
      <c r="E388" s="127">
        <v>0</v>
      </c>
      <c r="F388" s="127">
        <v>1</v>
      </c>
      <c r="G388" s="130" t="s">
        <v>172</v>
      </c>
    </row>
    <row r="389" spans="2:7" x14ac:dyDescent="0.25">
      <c r="B389" s="126" t="s">
        <v>78</v>
      </c>
      <c r="C389" s="127">
        <v>9</v>
      </c>
      <c r="D389" s="127" t="s">
        <v>94</v>
      </c>
      <c r="E389" s="127">
        <v>1</v>
      </c>
      <c r="F389" s="127">
        <v>0</v>
      </c>
      <c r="G389" s="130" t="s">
        <v>140</v>
      </c>
    </row>
    <row r="390" spans="2:7" x14ac:dyDescent="0.25">
      <c r="B390" s="126" t="s">
        <v>78</v>
      </c>
      <c r="C390" s="127">
        <v>10</v>
      </c>
      <c r="D390" s="127" t="s">
        <v>86</v>
      </c>
      <c r="E390" s="127">
        <v>0</v>
      </c>
      <c r="F390" s="127">
        <v>1</v>
      </c>
      <c r="G390" s="130" t="s">
        <v>173</v>
      </c>
    </row>
    <row r="391" spans="2:7" x14ac:dyDescent="0.25">
      <c r="B391" s="126" t="s">
        <v>78</v>
      </c>
      <c r="C391" s="127">
        <v>10</v>
      </c>
      <c r="D391" s="127" t="s">
        <v>79</v>
      </c>
      <c r="E391" s="127">
        <v>4</v>
      </c>
      <c r="F391" s="127">
        <v>0</v>
      </c>
      <c r="G391" s="130" t="s">
        <v>161</v>
      </c>
    </row>
    <row r="392" spans="2:7" x14ac:dyDescent="0.25">
      <c r="B392" s="126" t="s">
        <v>78</v>
      </c>
      <c r="C392" s="127">
        <v>10</v>
      </c>
      <c r="D392" s="127" t="s">
        <v>83</v>
      </c>
      <c r="E392" s="127">
        <v>4</v>
      </c>
      <c r="F392" s="127">
        <v>3</v>
      </c>
      <c r="G392" s="130" t="s">
        <v>94</v>
      </c>
    </row>
    <row r="393" spans="2:7" x14ac:dyDescent="0.25">
      <c r="B393" s="126" t="s">
        <v>78</v>
      </c>
      <c r="C393" s="127">
        <v>10</v>
      </c>
      <c r="D393" s="127" t="s">
        <v>172</v>
      </c>
      <c r="E393" s="127">
        <v>1</v>
      </c>
      <c r="F393" s="127">
        <v>2</v>
      </c>
      <c r="G393" s="130" t="s">
        <v>84</v>
      </c>
    </row>
    <row r="394" spans="2:7" x14ac:dyDescent="0.25">
      <c r="B394" s="126" t="s">
        <v>78</v>
      </c>
      <c r="C394" s="127">
        <v>10</v>
      </c>
      <c r="D394" s="127" t="s">
        <v>90</v>
      </c>
      <c r="E394" s="127">
        <v>1</v>
      </c>
      <c r="F394" s="127">
        <v>3</v>
      </c>
      <c r="G394" s="130" t="s">
        <v>87</v>
      </c>
    </row>
    <row r="395" spans="2:7" x14ac:dyDescent="0.25">
      <c r="B395" s="126" t="s">
        <v>78</v>
      </c>
      <c r="C395" s="127">
        <v>10</v>
      </c>
      <c r="D395" s="127" t="s">
        <v>139</v>
      </c>
      <c r="E395" s="127">
        <v>0</v>
      </c>
      <c r="F395" s="127">
        <v>1</v>
      </c>
      <c r="G395" s="130" t="s">
        <v>85</v>
      </c>
    </row>
    <row r="396" spans="2:7" x14ac:dyDescent="0.25">
      <c r="B396" s="126" t="s">
        <v>78</v>
      </c>
      <c r="C396" s="127">
        <v>10</v>
      </c>
      <c r="D396" s="127" t="s">
        <v>140</v>
      </c>
      <c r="E396" s="127">
        <v>0</v>
      </c>
      <c r="F396" s="127">
        <v>1</v>
      </c>
      <c r="G396" s="130" t="s">
        <v>88</v>
      </c>
    </row>
    <row r="397" spans="2:7" x14ac:dyDescent="0.25">
      <c r="B397" s="126" t="s">
        <v>78</v>
      </c>
      <c r="C397" s="127">
        <v>10</v>
      </c>
      <c r="D397" s="127" t="s">
        <v>80</v>
      </c>
      <c r="E397" s="127">
        <v>5</v>
      </c>
      <c r="F397" s="127">
        <v>1</v>
      </c>
      <c r="G397" s="130" t="s">
        <v>92</v>
      </c>
    </row>
    <row r="398" spans="2:7" x14ac:dyDescent="0.25">
      <c r="B398" s="126" t="s">
        <v>78</v>
      </c>
      <c r="C398" s="127">
        <v>10</v>
      </c>
      <c r="D398" s="127" t="s">
        <v>82</v>
      </c>
      <c r="E398" s="127">
        <v>3</v>
      </c>
      <c r="F398" s="127">
        <v>1</v>
      </c>
      <c r="G398" s="130" t="s">
        <v>93</v>
      </c>
    </row>
    <row r="399" spans="2:7" x14ac:dyDescent="0.25">
      <c r="B399" s="126" t="s">
        <v>78</v>
      </c>
      <c r="C399" s="127">
        <v>11</v>
      </c>
      <c r="D399" s="127" t="s">
        <v>84</v>
      </c>
      <c r="E399" s="127">
        <v>0</v>
      </c>
      <c r="F399" s="127">
        <v>0</v>
      </c>
      <c r="G399" s="130" t="s">
        <v>79</v>
      </c>
    </row>
    <row r="400" spans="2:7" x14ac:dyDescent="0.25">
      <c r="B400" s="126" t="s">
        <v>78</v>
      </c>
      <c r="C400" s="127">
        <v>11</v>
      </c>
      <c r="D400" s="127" t="s">
        <v>93</v>
      </c>
      <c r="E400" s="127">
        <v>1</v>
      </c>
      <c r="F400" s="127">
        <v>1</v>
      </c>
      <c r="G400" s="130" t="s">
        <v>140</v>
      </c>
    </row>
    <row r="401" spans="2:7" x14ac:dyDescent="0.25">
      <c r="B401" s="126" t="s">
        <v>78</v>
      </c>
      <c r="C401" s="127">
        <v>11</v>
      </c>
      <c r="D401" s="127" t="s">
        <v>92</v>
      </c>
      <c r="E401" s="127">
        <v>3</v>
      </c>
      <c r="F401" s="127">
        <v>3</v>
      </c>
      <c r="G401" s="130" t="s">
        <v>90</v>
      </c>
    </row>
    <row r="402" spans="2:7" x14ac:dyDescent="0.25">
      <c r="B402" s="126" t="s">
        <v>78</v>
      </c>
      <c r="C402" s="127">
        <v>11</v>
      </c>
      <c r="D402" s="127" t="s">
        <v>87</v>
      </c>
      <c r="E402" s="127">
        <v>1</v>
      </c>
      <c r="F402" s="127">
        <v>3</v>
      </c>
      <c r="G402" s="130" t="s">
        <v>80</v>
      </c>
    </row>
    <row r="403" spans="2:7" x14ac:dyDescent="0.25">
      <c r="B403" s="126" t="s">
        <v>78</v>
      </c>
      <c r="C403" s="127">
        <v>11</v>
      </c>
      <c r="D403" s="127" t="s">
        <v>161</v>
      </c>
      <c r="E403" s="127">
        <v>0</v>
      </c>
      <c r="F403" s="127">
        <v>0</v>
      </c>
      <c r="G403" s="130" t="s">
        <v>86</v>
      </c>
    </row>
    <row r="404" spans="2:7" x14ac:dyDescent="0.25">
      <c r="B404" s="126" t="s">
        <v>78</v>
      </c>
      <c r="C404" s="127">
        <v>11</v>
      </c>
      <c r="D404" s="127" t="s">
        <v>88</v>
      </c>
      <c r="E404" s="127">
        <v>1</v>
      </c>
      <c r="F404" s="127">
        <v>4</v>
      </c>
      <c r="G404" s="130" t="s">
        <v>82</v>
      </c>
    </row>
    <row r="405" spans="2:7" x14ac:dyDescent="0.25">
      <c r="B405" s="126" t="s">
        <v>78</v>
      </c>
      <c r="C405" s="127">
        <v>11</v>
      </c>
      <c r="D405" s="127" t="s">
        <v>85</v>
      </c>
      <c r="E405" s="127">
        <v>2</v>
      </c>
      <c r="F405" s="127">
        <v>1</v>
      </c>
      <c r="G405" s="130" t="s">
        <v>83</v>
      </c>
    </row>
    <row r="406" spans="2:7" x14ac:dyDescent="0.25">
      <c r="B406" s="126" t="s">
        <v>78</v>
      </c>
      <c r="C406" s="127">
        <v>11</v>
      </c>
      <c r="D406" s="127" t="s">
        <v>94</v>
      </c>
      <c r="E406" s="127">
        <v>2</v>
      </c>
      <c r="F406" s="127">
        <v>0</v>
      </c>
      <c r="G406" s="130" t="s">
        <v>139</v>
      </c>
    </row>
    <row r="407" spans="2:7" x14ac:dyDescent="0.25">
      <c r="B407" s="126" t="s">
        <v>78</v>
      </c>
      <c r="C407" s="127">
        <v>11</v>
      </c>
      <c r="D407" s="127" t="s">
        <v>173</v>
      </c>
      <c r="E407" s="127">
        <v>1</v>
      </c>
      <c r="F407" s="127">
        <v>2</v>
      </c>
      <c r="G407" s="130" t="s">
        <v>172</v>
      </c>
    </row>
    <row r="408" spans="2:7" x14ac:dyDescent="0.25">
      <c r="B408" s="126" t="s">
        <v>78</v>
      </c>
      <c r="C408" s="127">
        <v>12</v>
      </c>
      <c r="D408" s="127" t="s">
        <v>172</v>
      </c>
      <c r="E408" s="127">
        <v>1</v>
      </c>
      <c r="F408" s="127">
        <v>3</v>
      </c>
      <c r="G408" s="130" t="s">
        <v>88</v>
      </c>
    </row>
    <row r="409" spans="2:7" x14ac:dyDescent="0.25">
      <c r="B409" s="126" t="s">
        <v>78</v>
      </c>
      <c r="C409" s="127">
        <v>12</v>
      </c>
      <c r="D409" s="127" t="s">
        <v>79</v>
      </c>
      <c r="E409" s="127">
        <v>4</v>
      </c>
      <c r="F409" s="127">
        <v>0</v>
      </c>
      <c r="G409" s="130" t="s">
        <v>94</v>
      </c>
    </row>
    <row r="410" spans="2:7" x14ac:dyDescent="0.25">
      <c r="B410" s="126" t="s">
        <v>78</v>
      </c>
      <c r="C410" s="127">
        <v>12</v>
      </c>
      <c r="D410" s="127" t="s">
        <v>83</v>
      </c>
      <c r="E410" s="127">
        <v>1</v>
      </c>
      <c r="F410" s="127">
        <v>2</v>
      </c>
      <c r="G410" s="130" t="s">
        <v>161</v>
      </c>
    </row>
    <row r="411" spans="2:7" x14ac:dyDescent="0.25">
      <c r="B411" s="126" t="s">
        <v>78</v>
      </c>
      <c r="C411" s="127">
        <v>12</v>
      </c>
      <c r="D411" s="127" t="s">
        <v>82</v>
      </c>
      <c r="E411" s="127">
        <v>0</v>
      </c>
      <c r="F411" s="127">
        <v>0</v>
      </c>
      <c r="G411" s="130" t="s">
        <v>140</v>
      </c>
    </row>
    <row r="412" spans="2:7" x14ac:dyDescent="0.25">
      <c r="B412" s="126" t="s">
        <v>78</v>
      </c>
      <c r="C412" s="127">
        <v>12</v>
      </c>
      <c r="D412" s="127" t="s">
        <v>86</v>
      </c>
      <c r="E412" s="127">
        <v>0</v>
      </c>
      <c r="F412" s="127">
        <v>0</v>
      </c>
      <c r="G412" s="130" t="s">
        <v>84</v>
      </c>
    </row>
    <row r="413" spans="2:7" x14ac:dyDescent="0.25">
      <c r="B413" s="126" t="s">
        <v>78</v>
      </c>
      <c r="C413" s="127">
        <v>12</v>
      </c>
      <c r="D413" s="127" t="s">
        <v>90</v>
      </c>
      <c r="E413" s="127">
        <v>2</v>
      </c>
      <c r="F413" s="127">
        <v>0</v>
      </c>
      <c r="G413" s="130" t="s">
        <v>85</v>
      </c>
    </row>
    <row r="414" spans="2:7" x14ac:dyDescent="0.25">
      <c r="B414" s="126" t="s">
        <v>78</v>
      </c>
      <c r="C414" s="127">
        <v>12</v>
      </c>
      <c r="D414" s="127" t="s">
        <v>139</v>
      </c>
      <c r="E414" s="127">
        <v>1</v>
      </c>
      <c r="F414" s="127">
        <v>1</v>
      </c>
      <c r="G414" s="130" t="s">
        <v>173</v>
      </c>
    </row>
    <row r="415" spans="2:7" x14ac:dyDescent="0.25">
      <c r="B415" s="126" t="s">
        <v>78</v>
      </c>
      <c r="C415" s="127">
        <v>12</v>
      </c>
      <c r="D415" s="127" t="s">
        <v>80</v>
      </c>
      <c r="E415" s="127">
        <v>3</v>
      </c>
      <c r="F415" s="127">
        <v>2</v>
      </c>
      <c r="G415" s="130" t="s">
        <v>93</v>
      </c>
    </row>
    <row r="416" spans="2:7" x14ac:dyDescent="0.25">
      <c r="B416" s="126" t="s">
        <v>78</v>
      </c>
      <c r="C416" s="127">
        <v>12</v>
      </c>
      <c r="D416" s="127" t="s">
        <v>92</v>
      </c>
      <c r="E416" s="127">
        <v>1</v>
      </c>
      <c r="F416" s="127">
        <v>2</v>
      </c>
      <c r="G416" s="130" t="s">
        <v>87</v>
      </c>
    </row>
    <row r="417" spans="2:7" x14ac:dyDescent="0.25">
      <c r="B417" s="126" t="s">
        <v>78</v>
      </c>
      <c r="C417" s="127">
        <v>13</v>
      </c>
      <c r="D417" s="127" t="s">
        <v>173</v>
      </c>
      <c r="E417" s="127">
        <v>3</v>
      </c>
      <c r="F417" s="127">
        <v>1</v>
      </c>
      <c r="G417" s="130" t="s">
        <v>80</v>
      </c>
    </row>
    <row r="418" spans="2:7" x14ac:dyDescent="0.25">
      <c r="B418" s="126" t="s">
        <v>78</v>
      </c>
      <c r="C418" s="127">
        <v>13</v>
      </c>
      <c r="D418" s="127" t="s">
        <v>82</v>
      </c>
      <c r="E418" s="127">
        <v>2</v>
      </c>
      <c r="F418" s="127">
        <v>1</v>
      </c>
      <c r="G418" s="130" t="s">
        <v>172</v>
      </c>
    </row>
    <row r="419" spans="2:7" x14ac:dyDescent="0.25">
      <c r="B419" s="126" t="s">
        <v>78</v>
      </c>
      <c r="C419" s="127">
        <v>13</v>
      </c>
      <c r="D419" s="127" t="s">
        <v>85</v>
      </c>
      <c r="E419" s="127">
        <v>6</v>
      </c>
      <c r="F419" s="127">
        <v>0</v>
      </c>
      <c r="G419" s="130" t="s">
        <v>87</v>
      </c>
    </row>
    <row r="420" spans="2:7" x14ac:dyDescent="0.25">
      <c r="B420" s="126" t="s">
        <v>78</v>
      </c>
      <c r="C420" s="127">
        <v>13</v>
      </c>
      <c r="D420" s="127" t="s">
        <v>84</v>
      </c>
      <c r="E420" s="127">
        <v>1</v>
      </c>
      <c r="F420" s="127">
        <v>3</v>
      </c>
      <c r="G420" s="130" t="s">
        <v>83</v>
      </c>
    </row>
    <row r="421" spans="2:7" x14ac:dyDescent="0.25">
      <c r="B421" s="126" t="s">
        <v>78</v>
      </c>
      <c r="C421" s="127">
        <v>13</v>
      </c>
      <c r="D421" s="127" t="s">
        <v>161</v>
      </c>
      <c r="E421" s="127">
        <v>0</v>
      </c>
      <c r="F421" s="127">
        <v>0</v>
      </c>
      <c r="G421" s="130" t="s">
        <v>90</v>
      </c>
    </row>
    <row r="422" spans="2:7" x14ac:dyDescent="0.25">
      <c r="B422" s="126" t="s">
        <v>78</v>
      </c>
      <c r="C422" s="127">
        <v>13</v>
      </c>
      <c r="D422" s="127" t="s">
        <v>94</v>
      </c>
      <c r="E422" s="127">
        <v>0</v>
      </c>
      <c r="F422" s="127">
        <v>4</v>
      </c>
      <c r="G422" s="130" t="s">
        <v>92</v>
      </c>
    </row>
    <row r="423" spans="2:7" x14ac:dyDescent="0.25">
      <c r="B423" s="126" t="s">
        <v>78</v>
      </c>
      <c r="C423" s="127">
        <v>13</v>
      </c>
      <c r="D423" s="127" t="s">
        <v>93</v>
      </c>
      <c r="E423" s="127">
        <v>1</v>
      </c>
      <c r="F423" s="127">
        <v>3</v>
      </c>
      <c r="G423" s="130" t="s">
        <v>79</v>
      </c>
    </row>
    <row r="424" spans="2:7" x14ac:dyDescent="0.25">
      <c r="B424" s="126" t="s">
        <v>78</v>
      </c>
      <c r="C424" s="127">
        <v>13</v>
      </c>
      <c r="D424" s="127" t="s">
        <v>88</v>
      </c>
      <c r="E424" s="127">
        <v>1</v>
      </c>
      <c r="F424" s="127">
        <v>0</v>
      </c>
      <c r="G424" s="130" t="s">
        <v>86</v>
      </c>
    </row>
    <row r="425" spans="2:7" x14ac:dyDescent="0.25">
      <c r="B425" s="126" t="s">
        <v>78</v>
      </c>
      <c r="C425" s="127">
        <v>13</v>
      </c>
      <c r="D425" s="127" t="s">
        <v>140</v>
      </c>
      <c r="E425" s="127">
        <v>3</v>
      </c>
      <c r="F425" s="127">
        <v>1</v>
      </c>
      <c r="G425" s="130" t="s">
        <v>139</v>
      </c>
    </row>
    <row r="426" spans="2:7" x14ac:dyDescent="0.25">
      <c r="B426" s="126" t="s">
        <v>78</v>
      </c>
      <c r="C426" s="127">
        <v>14</v>
      </c>
      <c r="D426" s="127" t="s">
        <v>139</v>
      </c>
      <c r="E426" s="127">
        <v>0</v>
      </c>
      <c r="F426" s="127">
        <v>0</v>
      </c>
      <c r="G426" s="130" t="s">
        <v>161</v>
      </c>
    </row>
    <row r="427" spans="2:7" x14ac:dyDescent="0.25">
      <c r="B427" s="126" t="s">
        <v>78</v>
      </c>
      <c r="C427" s="127">
        <v>14</v>
      </c>
      <c r="D427" s="127" t="s">
        <v>79</v>
      </c>
      <c r="E427" s="127">
        <v>2</v>
      </c>
      <c r="F427" s="127">
        <v>0</v>
      </c>
      <c r="G427" s="130" t="s">
        <v>88</v>
      </c>
    </row>
    <row r="428" spans="2:7" x14ac:dyDescent="0.25">
      <c r="B428" s="126" t="s">
        <v>78</v>
      </c>
      <c r="C428" s="127">
        <v>14</v>
      </c>
      <c r="D428" s="127" t="s">
        <v>87</v>
      </c>
      <c r="E428" s="127">
        <v>1</v>
      </c>
      <c r="F428" s="127">
        <v>3</v>
      </c>
      <c r="G428" s="130" t="s">
        <v>173</v>
      </c>
    </row>
    <row r="429" spans="2:7" x14ac:dyDescent="0.25">
      <c r="B429" s="126" t="s">
        <v>78</v>
      </c>
      <c r="C429" s="127">
        <v>14</v>
      </c>
      <c r="D429" s="127" t="s">
        <v>172</v>
      </c>
      <c r="E429" s="127">
        <v>4</v>
      </c>
      <c r="F429" s="127">
        <v>0</v>
      </c>
      <c r="G429" s="130" t="s">
        <v>140</v>
      </c>
    </row>
    <row r="430" spans="2:7" x14ac:dyDescent="0.25">
      <c r="B430" s="126" t="s">
        <v>78</v>
      </c>
      <c r="C430" s="127">
        <v>14</v>
      </c>
      <c r="D430" s="127" t="s">
        <v>86</v>
      </c>
      <c r="E430" s="127">
        <v>3</v>
      </c>
      <c r="F430" s="127">
        <v>3</v>
      </c>
      <c r="G430" s="130" t="s">
        <v>82</v>
      </c>
    </row>
    <row r="431" spans="2:7" x14ac:dyDescent="0.25">
      <c r="B431" s="126" t="s">
        <v>78</v>
      </c>
      <c r="C431" s="127">
        <v>14</v>
      </c>
      <c r="D431" s="127" t="s">
        <v>90</v>
      </c>
      <c r="E431" s="127">
        <v>2</v>
      </c>
      <c r="F431" s="127">
        <v>1</v>
      </c>
      <c r="G431" s="130" t="s">
        <v>84</v>
      </c>
    </row>
    <row r="432" spans="2:7" x14ac:dyDescent="0.25">
      <c r="B432" s="126" t="s">
        <v>78</v>
      </c>
      <c r="C432" s="127">
        <v>14</v>
      </c>
      <c r="D432" s="127" t="s">
        <v>80</v>
      </c>
      <c r="E432" s="127">
        <v>4</v>
      </c>
      <c r="F432" s="127">
        <v>1</v>
      </c>
      <c r="G432" s="130" t="s">
        <v>94</v>
      </c>
    </row>
    <row r="433" spans="2:7" x14ac:dyDescent="0.25">
      <c r="B433" s="126" t="s">
        <v>78</v>
      </c>
      <c r="C433" s="127">
        <v>14</v>
      </c>
      <c r="D433" s="127" t="s">
        <v>83</v>
      </c>
      <c r="E433" s="127">
        <v>1</v>
      </c>
      <c r="F433" s="127">
        <v>1</v>
      </c>
      <c r="G433" s="130" t="s">
        <v>93</v>
      </c>
    </row>
    <row r="434" spans="2:7" x14ac:dyDescent="0.25">
      <c r="B434" s="126" t="s">
        <v>78</v>
      </c>
      <c r="C434" s="127">
        <v>14</v>
      </c>
      <c r="D434" s="127" t="s">
        <v>92</v>
      </c>
      <c r="E434" s="127">
        <v>0</v>
      </c>
      <c r="F434" s="127">
        <v>0</v>
      </c>
      <c r="G434" s="130" t="s">
        <v>85</v>
      </c>
    </row>
    <row r="435" spans="2:7" x14ac:dyDescent="0.25">
      <c r="B435" s="126" t="s">
        <v>78</v>
      </c>
      <c r="C435" s="127">
        <v>15</v>
      </c>
      <c r="D435" s="127" t="s">
        <v>93</v>
      </c>
      <c r="E435" s="127">
        <v>3</v>
      </c>
      <c r="F435" s="127">
        <v>1</v>
      </c>
      <c r="G435" s="130" t="s">
        <v>172</v>
      </c>
    </row>
    <row r="436" spans="2:7" x14ac:dyDescent="0.25">
      <c r="B436" s="126" t="s">
        <v>78</v>
      </c>
      <c r="C436" s="127">
        <v>15</v>
      </c>
      <c r="D436" s="127" t="s">
        <v>82</v>
      </c>
      <c r="E436" s="127">
        <v>3</v>
      </c>
      <c r="F436" s="127">
        <v>1</v>
      </c>
      <c r="G436" s="130" t="s">
        <v>79</v>
      </c>
    </row>
    <row r="437" spans="2:7" x14ac:dyDescent="0.25">
      <c r="B437" s="126" t="s">
        <v>78</v>
      </c>
      <c r="C437" s="127">
        <v>15</v>
      </c>
      <c r="D437" s="127" t="s">
        <v>173</v>
      </c>
      <c r="E437" s="127">
        <v>1</v>
      </c>
      <c r="F437" s="127">
        <v>3</v>
      </c>
      <c r="G437" s="130" t="s">
        <v>90</v>
      </c>
    </row>
    <row r="438" spans="2:7" x14ac:dyDescent="0.25">
      <c r="B438" s="126" t="s">
        <v>78</v>
      </c>
      <c r="C438" s="127">
        <v>15</v>
      </c>
      <c r="D438" s="127" t="s">
        <v>161</v>
      </c>
      <c r="E438" s="127">
        <v>0</v>
      </c>
      <c r="F438" s="127">
        <v>1</v>
      </c>
      <c r="G438" s="130" t="s">
        <v>92</v>
      </c>
    </row>
    <row r="439" spans="2:7" x14ac:dyDescent="0.25">
      <c r="B439" s="126" t="s">
        <v>78</v>
      </c>
      <c r="C439" s="127">
        <v>15</v>
      </c>
      <c r="D439" s="127" t="s">
        <v>88</v>
      </c>
      <c r="E439" s="127">
        <v>2</v>
      </c>
      <c r="F439" s="127">
        <v>1</v>
      </c>
      <c r="G439" s="130" t="s">
        <v>83</v>
      </c>
    </row>
    <row r="440" spans="2:7" x14ac:dyDescent="0.25">
      <c r="B440" s="126" t="s">
        <v>78</v>
      </c>
      <c r="C440" s="127">
        <v>15</v>
      </c>
      <c r="D440" s="127" t="s">
        <v>140</v>
      </c>
      <c r="E440" s="127">
        <v>1</v>
      </c>
      <c r="F440" s="127">
        <v>1</v>
      </c>
      <c r="G440" s="130" t="s">
        <v>86</v>
      </c>
    </row>
    <row r="441" spans="2:7" x14ac:dyDescent="0.25">
      <c r="B441" s="126" t="s">
        <v>78</v>
      </c>
      <c r="C441" s="127">
        <v>15</v>
      </c>
      <c r="D441" s="127" t="s">
        <v>85</v>
      </c>
      <c r="E441" s="127">
        <v>1</v>
      </c>
      <c r="F441" s="127">
        <v>2</v>
      </c>
      <c r="G441" s="130" t="s">
        <v>80</v>
      </c>
    </row>
    <row r="442" spans="2:7" x14ac:dyDescent="0.25">
      <c r="B442" s="126" t="s">
        <v>78</v>
      </c>
      <c r="C442" s="127">
        <v>15</v>
      </c>
      <c r="D442" s="127" t="s">
        <v>94</v>
      </c>
      <c r="E442" s="127">
        <v>1</v>
      </c>
      <c r="F442" s="127">
        <v>1</v>
      </c>
      <c r="G442" s="130" t="s">
        <v>87</v>
      </c>
    </row>
    <row r="443" spans="2:7" x14ac:dyDescent="0.25">
      <c r="B443" s="126" t="s">
        <v>78</v>
      </c>
      <c r="C443" s="127">
        <v>15</v>
      </c>
      <c r="D443" s="127" t="s">
        <v>84</v>
      </c>
      <c r="E443" s="127">
        <v>0</v>
      </c>
      <c r="F443" s="127">
        <v>1</v>
      </c>
      <c r="G443" s="130" t="s">
        <v>139</v>
      </c>
    </row>
    <row r="444" spans="2:7" x14ac:dyDescent="0.25">
      <c r="B444" s="126" t="s">
        <v>78</v>
      </c>
      <c r="C444" s="127">
        <v>16</v>
      </c>
      <c r="D444" s="127" t="s">
        <v>90</v>
      </c>
      <c r="E444" s="127">
        <v>0</v>
      </c>
      <c r="F444" s="127">
        <v>0</v>
      </c>
      <c r="G444" s="130" t="s">
        <v>94</v>
      </c>
    </row>
    <row r="445" spans="2:7" x14ac:dyDescent="0.25">
      <c r="B445" s="126" t="s">
        <v>78</v>
      </c>
      <c r="C445" s="127">
        <v>16</v>
      </c>
      <c r="D445" s="127" t="s">
        <v>79</v>
      </c>
      <c r="E445" s="127">
        <v>2</v>
      </c>
      <c r="F445" s="127">
        <v>0</v>
      </c>
      <c r="G445" s="130" t="s">
        <v>140</v>
      </c>
    </row>
    <row r="446" spans="2:7" x14ac:dyDescent="0.25">
      <c r="B446" s="126" t="s">
        <v>78</v>
      </c>
      <c r="C446" s="127">
        <v>16</v>
      </c>
      <c r="D446" s="127" t="s">
        <v>85</v>
      </c>
      <c r="E446" s="127">
        <v>1</v>
      </c>
      <c r="F446" s="127">
        <v>1</v>
      </c>
      <c r="G446" s="130" t="s">
        <v>173</v>
      </c>
    </row>
    <row r="447" spans="2:7" x14ac:dyDescent="0.25">
      <c r="B447" s="126" t="s">
        <v>78</v>
      </c>
      <c r="C447" s="127">
        <v>16</v>
      </c>
      <c r="D447" s="127" t="s">
        <v>87</v>
      </c>
      <c r="E447" s="127">
        <v>1</v>
      </c>
      <c r="F447" s="127">
        <v>1</v>
      </c>
      <c r="G447" s="130" t="s">
        <v>161</v>
      </c>
    </row>
    <row r="448" spans="2:7" x14ac:dyDescent="0.25">
      <c r="B448" s="126" t="s">
        <v>78</v>
      </c>
      <c r="C448" s="127">
        <v>16</v>
      </c>
      <c r="D448" s="127" t="s">
        <v>86</v>
      </c>
      <c r="E448" s="127">
        <v>1</v>
      </c>
      <c r="F448" s="127">
        <v>0</v>
      </c>
      <c r="G448" s="130" t="s">
        <v>172</v>
      </c>
    </row>
    <row r="449" spans="2:7" x14ac:dyDescent="0.25">
      <c r="B449" s="126" t="s">
        <v>78</v>
      </c>
      <c r="C449" s="127">
        <v>16</v>
      </c>
      <c r="D449" s="127" t="s">
        <v>139</v>
      </c>
      <c r="E449" s="127">
        <v>0</v>
      </c>
      <c r="F449" s="127">
        <v>4</v>
      </c>
      <c r="G449" s="130" t="s">
        <v>88</v>
      </c>
    </row>
    <row r="450" spans="2:7" x14ac:dyDescent="0.25">
      <c r="B450" s="126" t="s">
        <v>78</v>
      </c>
      <c r="C450" s="127">
        <v>16</v>
      </c>
      <c r="D450" s="127" t="s">
        <v>83</v>
      </c>
      <c r="E450" s="127">
        <v>5</v>
      </c>
      <c r="F450" s="127">
        <v>0</v>
      </c>
      <c r="G450" s="130" t="s">
        <v>82</v>
      </c>
    </row>
    <row r="451" spans="2:7" x14ac:dyDescent="0.25">
      <c r="B451" s="126" t="s">
        <v>78</v>
      </c>
      <c r="C451" s="127">
        <v>16</v>
      </c>
      <c r="D451" s="127" t="s">
        <v>92</v>
      </c>
      <c r="E451" s="127">
        <v>2</v>
      </c>
      <c r="F451" s="127">
        <v>1</v>
      </c>
      <c r="G451" s="130" t="s">
        <v>93</v>
      </c>
    </row>
    <row r="452" spans="2:7" x14ac:dyDescent="0.25">
      <c r="B452" s="126" t="s">
        <v>78</v>
      </c>
      <c r="C452" s="127">
        <v>16</v>
      </c>
      <c r="D452" s="127" t="s">
        <v>80</v>
      </c>
      <c r="E452" s="127">
        <v>4</v>
      </c>
      <c r="F452" s="127">
        <v>1</v>
      </c>
      <c r="G452" s="130" t="s">
        <v>84</v>
      </c>
    </row>
    <row r="453" spans="2:7" x14ac:dyDescent="0.25">
      <c r="B453" s="126" t="s">
        <v>78</v>
      </c>
      <c r="C453" s="127">
        <v>17</v>
      </c>
      <c r="D453" s="127" t="s">
        <v>93</v>
      </c>
      <c r="E453" s="127">
        <v>1</v>
      </c>
      <c r="F453" s="127">
        <v>0</v>
      </c>
      <c r="G453" s="130" t="s">
        <v>86</v>
      </c>
    </row>
    <row r="454" spans="2:7" x14ac:dyDescent="0.25">
      <c r="B454" s="126" t="s">
        <v>78</v>
      </c>
      <c r="C454" s="127">
        <v>17</v>
      </c>
      <c r="D454" s="127" t="s">
        <v>173</v>
      </c>
      <c r="E454" s="127">
        <v>0</v>
      </c>
      <c r="F454" s="127">
        <v>1</v>
      </c>
      <c r="G454" s="130" t="s">
        <v>92</v>
      </c>
    </row>
    <row r="455" spans="2:7" x14ac:dyDescent="0.25">
      <c r="B455" s="126" t="s">
        <v>78</v>
      </c>
      <c r="C455" s="127">
        <v>17</v>
      </c>
      <c r="D455" s="127" t="s">
        <v>84</v>
      </c>
      <c r="E455" s="127">
        <v>2</v>
      </c>
      <c r="F455" s="127">
        <v>1</v>
      </c>
      <c r="G455" s="130" t="s">
        <v>87</v>
      </c>
    </row>
    <row r="456" spans="2:7" x14ac:dyDescent="0.25">
      <c r="B456" s="126" t="s">
        <v>78</v>
      </c>
      <c r="C456" s="127">
        <v>17</v>
      </c>
      <c r="D456" s="127" t="s">
        <v>161</v>
      </c>
      <c r="E456" s="127">
        <v>2</v>
      </c>
      <c r="F456" s="127">
        <v>1</v>
      </c>
      <c r="G456" s="130" t="s">
        <v>80</v>
      </c>
    </row>
    <row r="457" spans="2:7" x14ac:dyDescent="0.25">
      <c r="B457" s="126" t="s">
        <v>78</v>
      </c>
      <c r="C457" s="127">
        <v>17</v>
      </c>
      <c r="D457" s="127" t="s">
        <v>172</v>
      </c>
      <c r="E457" s="127">
        <v>0</v>
      </c>
      <c r="F457" s="127">
        <v>1</v>
      </c>
      <c r="G457" s="130" t="s">
        <v>79</v>
      </c>
    </row>
    <row r="458" spans="2:7" x14ac:dyDescent="0.25">
      <c r="B458" s="126" t="s">
        <v>78</v>
      </c>
      <c r="C458" s="127">
        <v>17</v>
      </c>
      <c r="D458" s="127" t="s">
        <v>140</v>
      </c>
      <c r="E458" s="127">
        <v>0</v>
      </c>
      <c r="F458" s="127">
        <v>1</v>
      </c>
      <c r="G458" s="130" t="s">
        <v>83</v>
      </c>
    </row>
    <row r="459" spans="2:7" x14ac:dyDescent="0.25">
      <c r="B459" s="126" t="s">
        <v>78</v>
      </c>
      <c r="C459" s="127">
        <v>17</v>
      </c>
      <c r="D459" s="127" t="s">
        <v>94</v>
      </c>
      <c r="E459" s="127">
        <v>3</v>
      </c>
      <c r="F459" s="127">
        <v>1</v>
      </c>
      <c r="G459" s="130" t="s">
        <v>85</v>
      </c>
    </row>
    <row r="460" spans="2:7" x14ac:dyDescent="0.25">
      <c r="B460" s="126" t="s">
        <v>78</v>
      </c>
      <c r="C460" s="127">
        <v>17</v>
      </c>
      <c r="D460" s="127" t="s">
        <v>88</v>
      </c>
      <c r="E460" s="127">
        <v>2</v>
      </c>
      <c r="F460" s="127">
        <v>0</v>
      </c>
      <c r="G460" s="130" t="s">
        <v>90</v>
      </c>
    </row>
    <row r="461" spans="2:7" x14ac:dyDescent="0.25">
      <c r="B461" s="126" t="s">
        <v>78</v>
      </c>
      <c r="C461" s="127">
        <v>17</v>
      </c>
      <c r="D461" s="127" t="s">
        <v>82</v>
      </c>
      <c r="E461" s="127">
        <v>3</v>
      </c>
      <c r="F461" s="127">
        <v>2</v>
      </c>
      <c r="G461" s="130" t="s">
        <v>139</v>
      </c>
    </row>
    <row r="462" spans="2:7" x14ac:dyDescent="0.25">
      <c r="B462" s="126" t="s">
        <v>78</v>
      </c>
      <c r="C462" s="127">
        <v>18</v>
      </c>
      <c r="D462" s="127" t="s">
        <v>173</v>
      </c>
      <c r="E462" s="127">
        <v>1</v>
      </c>
      <c r="F462" s="127">
        <v>2</v>
      </c>
      <c r="G462" s="130" t="s">
        <v>79</v>
      </c>
    </row>
    <row r="463" spans="2:7" x14ac:dyDescent="0.25">
      <c r="B463" s="126" t="s">
        <v>78</v>
      </c>
      <c r="C463" s="127">
        <v>18</v>
      </c>
      <c r="D463" s="127" t="s">
        <v>140</v>
      </c>
      <c r="E463" s="127">
        <v>1</v>
      </c>
      <c r="F463" s="127">
        <v>0</v>
      </c>
      <c r="G463" s="130" t="s">
        <v>90</v>
      </c>
    </row>
    <row r="464" spans="2:7" x14ac:dyDescent="0.25">
      <c r="B464" s="126" t="s">
        <v>78</v>
      </c>
      <c r="C464" s="127">
        <v>18</v>
      </c>
      <c r="D464" s="127" t="s">
        <v>172</v>
      </c>
      <c r="E464" s="127">
        <v>1</v>
      </c>
      <c r="F464" s="127">
        <v>2</v>
      </c>
      <c r="G464" s="130" t="s">
        <v>139</v>
      </c>
    </row>
    <row r="465" spans="2:7" x14ac:dyDescent="0.25">
      <c r="B465" s="126" t="s">
        <v>78</v>
      </c>
      <c r="C465" s="127">
        <v>18</v>
      </c>
      <c r="D465" s="127" t="s">
        <v>88</v>
      </c>
      <c r="E465" s="127">
        <v>0</v>
      </c>
      <c r="F465" s="127">
        <v>0</v>
      </c>
      <c r="G465" s="130" t="s">
        <v>92</v>
      </c>
    </row>
    <row r="466" spans="2:7" x14ac:dyDescent="0.25">
      <c r="B466" s="126" t="s">
        <v>78</v>
      </c>
      <c r="C466" s="127">
        <v>18</v>
      </c>
      <c r="D466" s="127" t="s">
        <v>161</v>
      </c>
      <c r="E466" s="127">
        <v>1</v>
      </c>
      <c r="F466" s="127">
        <v>3</v>
      </c>
      <c r="G466" s="130" t="s">
        <v>94</v>
      </c>
    </row>
    <row r="467" spans="2:7" x14ac:dyDescent="0.25">
      <c r="B467" s="126" t="s">
        <v>78</v>
      </c>
      <c r="C467" s="127">
        <v>18</v>
      </c>
      <c r="D467" s="127" t="s">
        <v>86</v>
      </c>
      <c r="E467" s="127">
        <v>1</v>
      </c>
      <c r="F467" s="127">
        <v>1</v>
      </c>
      <c r="G467" s="130" t="s">
        <v>83</v>
      </c>
    </row>
    <row r="468" spans="2:7" x14ac:dyDescent="0.25">
      <c r="B468" s="126" t="s">
        <v>78</v>
      </c>
      <c r="C468" s="127">
        <v>18</v>
      </c>
      <c r="D468" s="127" t="s">
        <v>82</v>
      </c>
      <c r="E468" s="127">
        <v>1</v>
      </c>
      <c r="F468" s="127">
        <v>3</v>
      </c>
      <c r="G468" s="130" t="s">
        <v>80</v>
      </c>
    </row>
    <row r="469" spans="2:7" x14ac:dyDescent="0.25">
      <c r="B469" s="126" t="s">
        <v>78</v>
      </c>
      <c r="C469" s="127">
        <v>18</v>
      </c>
      <c r="D469" s="127" t="s">
        <v>84</v>
      </c>
      <c r="E469" s="127">
        <v>3</v>
      </c>
      <c r="F469" s="127">
        <v>2</v>
      </c>
      <c r="G469" s="130" t="s">
        <v>85</v>
      </c>
    </row>
    <row r="470" spans="2:7" x14ac:dyDescent="0.25">
      <c r="B470" s="126" t="s">
        <v>78</v>
      </c>
      <c r="C470" s="127">
        <v>18</v>
      </c>
      <c r="D470" s="127" t="s">
        <v>93</v>
      </c>
      <c r="E470" s="127">
        <v>1</v>
      </c>
      <c r="F470" s="127">
        <v>3</v>
      </c>
      <c r="G470" s="130" t="s">
        <v>87</v>
      </c>
    </row>
    <row r="471" spans="2:7" x14ac:dyDescent="0.25">
      <c r="B471" s="126" t="s">
        <v>78</v>
      </c>
      <c r="C471" s="127">
        <v>19</v>
      </c>
      <c r="D471" s="127" t="s">
        <v>90</v>
      </c>
      <c r="E471" s="127">
        <v>1</v>
      </c>
      <c r="F471" s="127">
        <v>0</v>
      </c>
      <c r="G471" s="130" t="s">
        <v>82</v>
      </c>
    </row>
    <row r="472" spans="2:7" x14ac:dyDescent="0.25">
      <c r="B472" s="126" t="s">
        <v>78</v>
      </c>
      <c r="C472" s="127">
        <v>19</v>
      </c>
      <c r="D472" s="127" t="s">
        <v>139</v>
      </c>
      <c r="E472" s="127">
        <v>0</v>
      </c>
      <c r="F472" s="127">
        <v>2</v>
      </c>
      <c r="G472" s="130" t="s">
        <v>93</v>
      </c>
    </row>
    <row r="473" spans="2:7" x14ac:dyDescent="0.25">
      <c r="B473" s="126" t="s">
        <v>78</v>
      </c>
      <c r="C473" s="127">
        <v>19</v>
      </c>
      <c r="D473" s="127" t="s">
        <v>92</v>
      </c>
      <c r="E473" s="127">
        <v>0</v>
      </c>
      <c r="F473" s="127">
        <v>0</v>
      </c>
      <c r="G473" s="130" t="s">
        <v>84</v>
      </c>
    </row>
    <row r="474" spans="2:7" x14ac:dyDescent="0.25">
      <c r="B474" s="126" t="s">
        <v>78</v>
      </c>
      <c r="C474" s="127">
        <v>19</v>
      </c>
      <c r="D474" s="127" t="s">
        <v>83</v>
      </c>
      <c r="E474" s="127">
        <v>3</v>
      </c>
      <c r="F474" s="127">
        <v>0</v>
      </c>
      <c r="G474" s="130" t="s">
        <v>172</v>
      </c>
    </row>
    <row r="475" spans="2:7" x14ac:dyDescent="0.25">
      <c r="B475" s="126" t="s">
        <v>78</v>
      </c>
      <c r="C475" s="127">
        <v>19</v>
      </c>
      <c r="D475" s="127" t="s">
        <v>87</v>
      </c>
      <c r="E475" s="127">
        <v>3</v>
      </c>
      <c r="F475" s="127">
        <v>3</v>
      </c>
      <c r="G475" s="130" t="s">
        <v>88</v>
      </c>
    </row>
    <row r="476" spans="2:7" x14ac:dyDescent="0.25">
      <c r="B476" s="126" t="s">
        <v>78</v>
      </c>
      <c r="C476" s="127">
        <v>19</v>
      </c>
      <c r="D476" s="127" t="s">
        <v>80</v>
      </c>
      <c r="E476" s="127">
        <v>2</v>
      </c>
      <c r="F476" s="127">
        <v>0</v>
      </c>
      <c r="G476" s="130" t="s">
        <v>140</v>
      </c>
    </row>
    <row r="477" spans="2:7" x14ac:dyDescent="0.25">
      <c r="B477" s="126" t="s">
        <v>78</v>
      </c>
      <c r="C477" s="127">
        <v>19</v>
      </c>
      <c r="D477" s="127" t="s">
        <v>94</v>
      </c>
      <c r="E477" s="127">
        <v>2</v>
      </c>
      <c r="F477" s="127">
        <v>1</v>
      </c>
      <c r="G477" s="130" t="s">
        <v>173</v>
      </c>
    </row>
    <row r="478" spans="2:7" x14ac:dyDescent="0.25">
      <c r="B478" s="126" t="s">
        <v>78</v>
      </c>
      <c r="C478" s="127">
        <v>19</v>
      </c>
      <c r="D478" s="127" t="s">
        <v>85</v>
      </c>
      <c r="E478" s="127">
        <v>1</v>
      </c>
      <c r="F478" s="127">
        <v>1</v>
      </c>
      <c r="G478" s="130" t="s">
        <v>161</v>
      </c>
    </row>
    <row r="479" spans="2:7" x14ac:dyDescent="0.25">
      <c r="B479" s="126" t="s">
        <v>78</v>
      </c>
      <c r="C479" s="127">
        <v>19</v>
      </c>
      <c r="D479" s="127" t="s">
        <v>79</v>
      </c>
      <c r="E479" s="127">
        <v>2</v>
      </c>
      <c r="F479" s="127">
        <v>0</v>
      </c>
      <c r="G479" s="130" t="s">
        <v>86</v>
      </c>
    </row>
    <row r="480" spans="2:7" x14ac:dyDescent="0.25">
      <c r="B480" s="126" t="s">
        <v>78</v>
      </c>
      <c r="C480" s="127">
        <v>20</v>
      </c>
      <c r="D480" s="127" t="s">
        <v>82</v>
      </c>
      <c r="E480" s="127">
        <v>5</v>
      </c>
      <c r="F480" s="127">
        <v>1</v>
      </c>
      <c r="G480" s="130" t="s">
        <v>87</v>
      </c>
    </row>
    <row r="481" spans="2:7" x14ac:dyDescent="0.25">
      <c r="B481" s="126" t="s">
        <v>78</v>
      </c>
      <c r="C481" s="127">
        <v>20</v>
      </c>
      <c r="D481" s="127" t="s">
        <v>88</v>
      </c>
      <c r="E481" s="127">
        <v>0</v>
      </c>
      <c r="F481" s="127">
        <v>0</v>
      </c>
      <c r="G481" s="130" t="s">
        <v>80</v>
      </c>
    </row>
    <row r="482" spans="2:7" x14ac:dyDescent="0.25">
      <c r="B482" s="126" t="s">
        <v>78</v>
      </c>
      <c r="C482" s="127">
        <v>20</v>
      </c>
      <c r="D482" s="127" t="s">
        <v>93</v>
      </c>
      <c r="E482" s="127">
        <v>3</v>
      </c>
      <c r="F482" s="127">
        <v>0</v>
      </c>
      <c r="G482" s="130" t="s">
        <v>85</v>
      </c>
    </row>
    <row r="483" spans="2:7" x14ac:dyDescent="0.25">
      <c r="B483" s="126" t="s">
        <v>78</v>
      </c>
      <c r="C483" s="127">
        <v>20</v>
      </c>
      <c r="D483" s="127" t="s">
        <v>84</v>
      </c>
      <c r="E483" s="127">
        <v>2</v>
      </c>
      <c r="F483" s="127">
        <v>1</v>
      </c>
      <c r="G483" s="130" t="s">
        <v>94</v>
      </c>
    </row>
    <row r="484" spans="2:7" x14ac:dyDescent="0.25">
      <c r="B484" s="126" t="s">
        <v>78</v>
      </c>
      <c r="C484" s="127">
        <v>20</v>
      </c>
      <c r="D484" s="127" t="s">
        <v>140</v>
      </c>
      <c r="E484" s="127">
        <v>2</v>
      </c>
      <c r="F484" s="127">
        <v>1</v>
      </c>
      <c r="G484" s="130" t="s">
        <v>92</v>
      </c>
    </row>
    <row r="485" spans="2:7" x14ac:dyDescent="0.25">
      <c r="B485" s="126" t="s">
        <v>78</v>
      </c>
      <c r="C485" s="127">
        <v>20</v>
      </c>
      <c r="D485" s="127" t="s">
        <v>172</v>
      </c>
      <c r="E485" s="127">
        <v>0</v>
      </c>
      <c r="F485" s="127">
        <v>1</v>
      </c>
      <c r="G485" s="130" t="s">
        <v>90</v>
      </c>
    </row>
    <row r="486" spans="2:7" x14ac:dyDescent="0.25">
      <c r="B486" s="126" t="s">
        <v>78</v>
      </c>
      <c r="C486" s="127">
        <v>20</v>
      </c>
      <c r="D486" s="127" t="s">
        <v>83</v>
      </c>
      <c r="E486" s="127">
        <v>0</v>
      </c>
      <c r="F486" s="127">
        <v>0</v>
      </c>
      <c r="G486" s="130" t="s">
        <v>79</v>
      </c>
    </row>
    <row r="487" spans="2:7" x14ac:dyDescent="0.25">
      <c r="B487" s="126" t="s">
        <v>78</v>
      </c>
      <c r="C487" s="127">
        <v>20</v>
      </c>
      <c r="D487" s="127" t="s">
        <v>173</v>
      </c>
      <c r="E487" s="127">
        <v>1</v>
      </c>
      <c r="F487" s="127">
        <v>1</v>
      </c>
      <c r="G487" s="130" t="s">
        <v>161</v>
      </c>
    </row>
    <row r="488" spans="2:7" x14ac:dyDescent="0.25">
      <c r="B488" s="126" t="s">
        <v>78</v>
      </c>
      <c r="C488" s="127">
        <v>20</v>
      </c>
      <c r="D488" s="127" t="s">
        <v>86</v>
      </c>
      <c r="E488" s="127">
        <v>0</v>
      </c>
      <c r="F488" s="127">
        <v>2</v>
      </c>
      <c r="G488" s="130" t="s">
        <v>139</v>
      </c>
    </row>
    <row r="489" spans="2:7" x14ac:dyDescent="0.25">
      <c r="B489" s="126" t="s">
        <v>78</v>
      </c>
      <c r="C489" s="127">
        <v>21</v>
      </c>
      <c r="D489" s="127" t="s">
        <v>90</v>
      </c>
      <c r="E489" s="127">
        <v>2</v>
      </c>
      <c r="F489" s="127">
        <v>1</v>
      </c>
      <c r="G489" s="130" t="s">
        <v>93</v>
      </c>
    </row>
    <row r="490" spans="2:7" x14ac:dyDescent="0.25">
      <c r="B490" s="126" t="s">
        <v>78</v>
      </c>
      <c r="C490" s="127">
        <v>21</v>
      </c>
      <c r="D490" s="127" t="s">
        <v>139</v>
      </c>
      <c r="E490" s="127">
        <v>1</v>
      </c>
      <c r="F490" s="127">
        <v>2</v>
      </c>
      <c r="G490" s="130" t="s">
        <v>83</v>
      </c>
    </row>
    <row r="491" spans="2:7" x14ac:dyDescent="0.25">
      <c r="B491" s="126" t="s">
        <v>78</v>
      </c>
      <c r="C491" s="127">
        <v>21</v>
      </c>
      <c r="D491" s="127" t="s">
        <v>80</v>
      </c>
      <c r="E491" s="127">
        <v>1</v>
      </c>
      <c r="F491" s="127">
        <v>0</v>
      </c>
      <c r="G491" s="130" t="s">
        <v>172</v>
      </c>
    </row>
    <row r="492" spans="2:7" x14ac:dyDescent="0.25">
      <c r="B492" s="126" t="s">
        <v>78</v>
      </c>
      <c r="C492" s="127">
        <v>21</v>
      </c>
      <c r="D492" s="127" t="s">
        <v>94</v>
      </c>
      <c r="E492" s="127">
        <v>2</v>
      </c>
      <c r="F492" s="127">
        <v>0</v>
      </c>
      <c r="G492" s="130" t="s">
        <v>88</v>
      </c>
    </row>
    <row r="493" spans="2:7" x14ac:dyDescent="0.25">
      <c r="B493" s="126" t="s">
        <v>78</v>
      </c>
      <c r="C493" s="127">
        <v>21</v>
      </c>
      <c r="D493" s="127" t="s">
        <v>87</v>
      </c>
      <c r="E493" s="127">
        <v>1</v>
      </c>
      <c r="F493" s="127">
        <v>1</v>
      </c>
      <c r="G493" s="130" t="s">
        <v>86</v>
      </c>
    </row>
    <row r="494" spans="2:7" x14ac:dyDescent="0.25">
      <c r="B494" s="126" t="s">
        <v>78</v>
      </c>
      <c r="C494" s="127">
        <v>21</v>
      </c>
      <c r="D494" s="127" t="s">
        <v>85</v>
      </c>
      <c r="E494" s="127">
        <v>2</v>
      </c>
      <c r="F494" s="127">
        <v>0</v>
      </c>
      <c r="G494" s="130" t="s">
        <v>140</v>
      </c>
    </row>
    <row r="495" spans="2:7" x14ac:dyDescent="0.25">
      <c r="B495" s="126" t="s">
        <v>78</v>
      </c>
      <c r="C495" s="127">
        <v>21</v>
      </c>
      <c r="D495" s="127" t="s">
        <v>161</v>
      </c>
      <c r="E495" s="127">
        <v>3</v>
      </c>
      <c r="F495" s="127">
        <v>1</v>
      </c>
      <c r="G495" s="130" t="s">
        <v>84</v>
      </c>
    </row>
    <row r="496" spans="2:7" x14ac:dyDescent="0.25">
      <c r="B496" s="126" t="s">
        <v>78</v>
      </c>
      <c r="C496" s="127">
        <v>21</v>
      </c>
      <c r="D496" s="127" t="s">
        <v>173</v>
      </c>
      <c r="E496" s="127">
        <v>3</v>
      </c>
      <c r="F496" s="127">
        <v>2</v>
      </c>
      <c r="G496" s="130" t="s">
        <v>82</v>
      </c>
    </row>
    <row r="497" spans="2:7" x14ac:dyDescent="0.25">
      <c r="B497" s="126" t="s">
        <v>78</v>
      </c>
      <c r="C497" s="127">
        <v>21</v>
      </c>
      <c r="D497" s="127" t="s">
        <v>92</v>
      </c>
      <c r="E497" s="127">
        <v>1</v>
      </c>
      <c r="F497" s="127">
        <v>3</v>
      </c>
      <c r="G497" s="130" t="s">
        <v>79</v>
      </c>
    </row>
    <row r="498" spans="2:7" x14ac:dyDescent="0.25">
      <c r="B498" s="126" t="s">
        <v>78</v>
      </c>
      <c r="C498" s="127">
        <v>22</v>
      </c>
      <c r="D498" s="127" t="s">
        <v>84</v>
      </c>
      <c r="E498" s="127">
        <v>0</v>
      </c>
      <c r="F498" s="127">
        <v>0</v>
      </c>
      <c r="G498" s="130" t="s">
        <v>173</v>
      </c>
    </row>
    <row r="499" spans="2:7" x14ac:dyDescent="0.25">
      <c r="B499" s="126" t="s">
        <v>78</v>
      </c>
      <c r="C499" s="127">
        <v>22</v>
      </c>
      <c r="D499" s="127" t="s">
        <v>88</v>
      </c>
      <c r="E499" s="127">
        <v>1</v>
      </c>
      <c r="F499" s="127">
        <v>1</v>
      </c>
      <c r="G499" s="130" t="s">
        <v>85</v>
      </c>
    </row>
    <row r="500" spans="2:7" x14ac:dyDescent="0.25">
      <c r="B500" s="126" t="s">
        <v>78</v>
      </c>
      <c r="C500" s="127">
        <v>22</v>
      </c>
      <c r="D500" s="127" t="s">
        <v>140</v>
      </c>
      <c r="E500" s="127">
        <v>2</v>
      </c>
      <c r="F500" s="127">
        <v>0</v>
      </c>
      <c r="G500" s="130" t="s">
        <v>87</v>
      </c>
    </row>
    <row r="501" spans="2:7" x14ac:dyDescent="0.25">
      <c r="B501" s="126" t="s">
        <v>78</v>
      </c>
      <c r="C501" s="127">
        <v>22</v>
      </c>
      <c r="D501" s="127" t="s">
        <v>82</v>
      </c>
      <c r="E501" s="127">
        <v>1</v>
      </c>
      <c r="F501" s="127">
        <v>0</v>
      </c>
      <c r="G501" s="130" t="s">
        <v>161</v>
      </c>
    </row>
    <row r="502" spans="2:7" x14ac:dyDescent="0.25">
      <c r="B502" s="126" t="s">
        <v>78</v>
      </c>
      <c r="C502" s="127">
        <v>22</v>
      </c>
      <c r="D502" s="127" t="s">
        <v>86</v>
      </c>
      <c r="E502" s="127">
        <v>3</v>
      </c>
      <c r="F502" s="127">
        <v>2</v>
      </c>
      <c r="G502" s="130" t="s">
        <v>90</v>
      </c>
    </row>
    <row r="503" spans="2:7" x14ac:dyDescent="0.25">
      <c r="B503" s="126" t="s">
        <v>78</v>
      </c>
      <c r="C503" s="127">
        <v>22</v>
      </c>
      <c r="D503" s="127" t="s">
        <v>79</v>
      </c>
      <c r="E503" s="127">
        <v>3</v>
      </c>
      <c r="F503" s="127">
        <v>1</v>
      </c>
      <c r="G503" s="130" t="s">
        <v>139</v>
      </c>
    </row>
    <row r="504" spans="2:7" x14ac:dyDescent="0.25">
      <c r="B504" s="126" t="s">
        <v>78</v>
      </c>
      <c r="C504" s="127">
        <v>22</v>
      </c>
      <c r="D504" s="127" t="s">
        <v>83</v>
      </c>
      <c r="E504" s="127">
        <v>0</v>
      </c>
      <c r="F504" s="127">
        <v>1</v>
      </c>
      <c r="G504" s="130" t="s">
        <v>80</v>
      </c>
    </row>
    <row r="505" spans="2:7" x14ac:dyDescent="0.25">
      <c r="B505" s="126" t="s">
        <v>78</v>
      </c>
      <c r="C505" s="127">
        <v>22</v>
      </c>
      <c r="D505" s="127" t="s">
        <v>93</v>
      </c>
      <c r="E505" s="127">
        <v>1</v>
      </c>
      <c r="F505" s="127">
        <v>1</v>
      </c>
      <c r="G505" s="130" t="s">
        <v>94</v>
      </c>
    </row>
    <row r="506" spans="2:7" x14ac:dyDescent="0.25">
      <c r="B506" s="126" t="s">
        <v>78</v>
      </c>
      <c r="C506" s="127">
        <v>22</v>
      </c>
      <c r="D506" s="127" t="s">
        <v>172</v>
      </c>
      <c r="E506" s="127">
        <v>0</v>
      </c>
      <c r="F506" s="127">
        <v>1</v>
      </c>
      <c r="G506" s="130" t="s">
        <v>92</v>
      </c>
    </row>
    <row r="507" spans="2:7" x14ac:dyDescent="0.25">
      <c r="B507" s="126" t="s">
        <v>78</v>
      </c>
      <c r="C507" s="127">
        <v>23</v>
      </c>
      <c r="D507" s="127" t="s">
        <v>161</v>
      </c>
      <c r="E507" s="127">
        <v>0</v>
      </c>
      <c r="F507" s="127">
        <v>1</v>
      </c>
      <c r="G507" s="130" t="s">
        <v>88</v>
      </c>
    </row>
    <row r="508" spans="2:7" x14ac:dyDescent="0.25">
      <c r="B508" s="126" t="s">
        <v>78</v>
      </c>
      <c r="C508" s="127">
        <v>23</v>
      </c>
      <c r="D508" s="127" t="s">
        <v>85</v>
      </c>
      <c r="E508" s="127">
        <v>0</v>
      </c>
      <c r="F508" s="127">
        <v>2</v>
      </c>
      <c r="G508" s="130" t="s">
        <v>79</v>
      </c>
    </row>
    <row r="509" spans="2:7" x14ac:dyDescent="0.25">
      <c r="B509" s="126" t="s">
        <v>78</v>
      </c>
      <c r="C509" s="127">
        <v>23</v>
      </c>
      <c r="D509" s="127" t="s">
        <v>94</v>
      </c>
      <c r="E509" s="127">
        <v>1</v>
      </c>
      <c r="F509" s="127">
        <v>2</v>
      </c>
      <c r="G509" s="130" t="s">
        <v>172</v>
      </c>
    </row>
    <row r="510" spans="2:7" x14ac:dyDescent="0.25">
      <c r="B510" s="126" t="s">
        <v>78</v>
      </c>
      <c r="C510" s="127">
        <v>23</v>
      </c>
      <c r="D510" s="127" t="s">
        <v>173</v>
      </c>
      <c r="E510" s="127">
        <v>1</v>
      </c>
      <c r="F510" s="127">
        <v>1</v>
      </c>
      <c r="G510" s="130" t="s">
        <v>140</v>
      </c>
    </row>
    <row r="511" spans="2:7" x14ac:dyDescent="0.25">
      <c r="B511" s="126" t="s">
        <v>78</v>
      </c>
      <c r="C511" s="127">
        <v>23</v>
      </c>
      <c r="D511" s="127" t="s">
        <v>87</v>
      </c>
      <c r="E511" s="127">
        <v>2</v>
      </c>
      <c r="F511" s="127">
        <v>2</v>
      </c>
      <c r="G511" s="130" t="s">
        <v>139</v>
      </c>
    </row>
    <row r="512" spans="2:7" x14ac:dyDescent="0.25">
      <c r="B512" s="126" t="s">
        <v>78</v>
      </c>
      <c r="C512" s="127">
        <v>23</v>
      </c>
      <c r="D512" s="127" t="s">
        <v>92</v>
      </c>
      <c r="E512" s="127">
        <v>2</v>
      </c>
      <c r="F512" s="127">
        <v>2</v>
      </c>
      <c r="G512" s="130" t="s">
        <v>82</v>
      </c>
    </row>
    <row r="513" spans="2:7" x14ac:dyDescent="0.25">
      <c r="B513" s="126" t="s">
        <v>78</v>
      </c>
      <c r="C513" s="127">
        <v>23</v>
      </c>
      <c r="D513" s="127" t="s">
        <v>90</v>
      </c>
      <c r="E513" s="127">
        <v>3</v>
      </c>
      <c r="F513" s="127">
        <v>1</v>
      </c>
      <c r="G513" s="130" t="s">
        <v>83</v>
      </c>
    </row>
    <row r="514" spans="2:7" x14ac:dyDescent="0.25">
      <c r="B514" s="126" t="s">
        <v>78</v>
      </c>
      <c r="C514" s="127">
        <v>23</v>
      </c>
      <c r="D514" s="127" t="s">
        <v>80</v>
      </c>
      <c r="E514" s="127">
        <v>3</v>
      </c>
      <c r="F514" s="127">
        <v>1</v>
      </c>
      <c r="G514" s="130" t="s">
        <v>86</v>
      </c>
    </row>
    <row r="515" spans="2:7" x14ac:dyDescent="0.25">
      <c r="B515" s="126" t="s">
        <v>78</v>
      </c>
      <c r="C515" s="127">
        <v>23</v>
      </c>
      <c r="D515" s="127" t="s">
        <v>84</v>
      </c>
      <c r="E515" s="127">
        <v>0</v>
      </c>
      <c r="F515" s="127">
        <v>0</v>
      </c>
      <c r="G515" s="130" t="s">
        <v>93</v>
      </c>
    </row>
    <row r="516" spans="2:7" x14ac:dyDescent="0.25">
      <c r="B516" s="126" t="s">
        <v>78</v>
      </c>
      <c r="C516" s="127">
        <v>24</v>
      </c>
      <c r="D516" s="127" t="s">
        <v>172</v>
      </c>
      <c r="E516" s="127">
        <v>0</v>
      </c>
      <c r="F516" s="127">
        <v>4</v>
      </c>
      <c r="G516" s="130" t="s">
        <v>85</v>
      </c>
    </row>
    <row r="517" spans="2:7" x14ac:dyDescent="0.25">
      <c r="B517" s="126" t="s">
        <v>78</v>
      </c>
      <c r="C517" s="127">
        <v>24</v>
      </c>
      <c r="D517" s="127" t="s">
        <v>140</v>
      </c>
      <c r="E517" s="127">
        <v>1</v>
      </c>
      <c r="F517" s="127">
        <v>1</v>
      </c>
      <c r="G517" s="130" t="s">
        <v>161</v>
      </c>
    </row>
    <row r="518" spans="2:7" x14ac:dyDescent="0.25">
      <c r="B518" s="126" t="s">
        <v>78</v>
      </c>
      <c r="C518" s="127">
        <v>24</v>
      </c>
      <c r="D518" s="127" t="s">
        <v>139</v>
      </c>
      <c r="E518" s="127">
        <v>0</v>
      </c>
      <c r="F518" s="127">
        <v>2</v>
      </c>
      <c r="G518" s="130" t="s">
        <v>80</v>
      </c>
    </row>
    <row r="519" spans="2:7" x14ac:dyDescent="0.25">
      <c r="B519" s="126" t="s">
        <v>78</v>
      </c>
      <c r="C519" s="127">
        <v>24</v>
      </c>
      <c r="D519" s="127" t="s">
        <v>93</v>
      </c>
      <c r="E519" s="127">
        <v>3</v>
      </c>
      <c r="F519" s="127">
        <v>2</v>
      </c>
      <c r="G519" s="130" t="s">
        <v>173</v>
      </c>
    </row>
    <row r="520" spans="2:7" x14ac:dyDescent="0.25">
      <c r="B520" s="126" t="s">
        <v>78</v>
      </c>
      <c r="C520" s="127">
        <v>24</v>
      </c>
      <c r="D520" s="127" t="s">
        <v>82</v>
      </c>
      <c r="E520" s="127">
        <v>4</v>
      </c>
      <c r="F520" s="127">
        <v>0</v>
      </c>
      <c r="G520" s="130" t="s">
        <v>94</v>
      </c>
    </row>
    <row r="521" spans="2:7" x14ac:dyDescent="0.25">
      <c r="B521" s="126" t="s">
        <v>78</v>
      </c>
      <c r="C521" s="127">
        <v>24</v>
      </c>
      <c r="D521" s="127" t="s">
        <v>86</v>
      </c>
      <c r="E521" s="127">
        <v>2</v>
      </c>
      <c r="F521" s="127">
        <v>1</v>
      </c>
      <c r="G521" s="130" t="s">
        <v>92</v>
      </c>
    </row>
    <row r="522" spans="2:7" x14ac:dyDescent="0.25">
      <c r="B522" s="126" t="s">
        <v>78</v>
      </c>
      <c r="C522" s="127">
        <v>24</v>
      </c>
      <c r="D522" s="127" t="s">
        <v>83</v>
      </c>
      <c r="E522" s="127">
        <v>1</v>
      </c>
      <c r="F522" s="127">
        <v>4</v>
      </c>
      <c r="G522" s="130" t="s">
        <v>87</v>
      </c>
    </row>
    <row r="523" spans="2:7" x14ac:dyDescent="0.25">
      <c r="B523" s="126" t="s">
        <v>78</v>
      </c>
      <c r="C523" s="127">
        <v>24</v>
      </c>
      <c r="D523" s="127" t="s">
        <v>88</v>
      </c>
      <c r="E523" s="127">
        <v>2</v>
      </c>
      <c r="F523" s="127">
        <v>0</v>
      </c>
      <c r="G523" s="130" t="s">
        <v>84</v>
      </c>
    </row>
    <row r="524" spans="2:7" x14ac:dyDescent="0.25">
      <c r="B524" s="126" t="s">
        <v>78</v>
      </c>
      <c r="C524" s="127">
        <v>24</v>
      </c>
      <c r="D524" s="127" t="s">
        <v>79</v>
      </c>
      <c r="E524" s="127">
        <v>1</v>
      </c>
      <c r="F524" s="127">
        <v>2</v>
      </c>
      <c r="G524" s="130" t="s">
        <v>90</v>
      </c>
    </row>
    <row r="525" spans="2:7" x14ac:dyDescent="0.25">
      <c r="B525" s="126" t="s">
        <v>78</v>
      </c>
      <c r="C525" s="127">
        <v>25</v>
      </c>
      <c r="D525" s="127" t="s">
        <v>161</v>
      </c>
      <c r="E525" s="127">
        <v>1</v>
      </c>
      <c r="F525" s="127">
        <v>3</v>
      </c>
      <c r="G525" s="130" t="s">
        <v>93</v>
      </c>
    </row>
    <row r="526" spans="2:7" x14ac:dyDescent="0.25">
      <c r="B526" s="126" t="s">
        <v>78</v>
      </c>
      <c r="C526" s="127">
        <v>25</v>
      </c>
      <c r="D526" s="127" t="s">
        <v>92</v>
      </c>
      <c r="E526" s="127">
        <v>3</v>
      </c>
      <c r="F526" s="127">
        <v>3</v>
      </c>
      <c r="G526" s="130" t="s">
        <v>83</v>
      </c>
    </row>
    <row r="527" spans="2:7" x14ac:dyDescent="0.25">
      <c r="B527" s="126" t="s">
        <v>78</v>
      </c>
      <c r="C527" s="127">
        <v>25</v>
      </c>
      <c r="D527" s="127" t="s">
        <v>85</v>
      </c>
      <c r="E527" s="127">
        <v>2</v>
      </c>
      <c r="F527" s="127">
        <v>1</v>
      </c>
      <c r="G527" s="130" t="s">
        <v>82</v>
      </c>
    </row>
    <row r="528" spans="2:7" x14ac:dyDescent="0.25">
      <c r="B528" s="126" t="s">
        <v>78</v>
      </c>
      <c r="C528" s="127">
        <v>25</v>
      </c>
      <c r="D528" s="127" t="s">
        <v>87</v>
      </c>
      <c r="E528" s="127">
        <v>4</v>
      </c>
      <c r="F528" s="127">
        <v>1</v>
      </c>
      <c r="G528" s="130" t="s">
        <v>172</v>
      </c>
    </row>
    <row r="529" spans="2:7" x14ac:dyDescent="0.25">
      <c r="B529" s="126" t="s">
        <v>78</v>
      </c>
      <c r="C529" s="127">
        <v>25</v>
      </c>
      <c r="D529" s="127" t="s">
        <v>94</v>
      </c>
      <c r="E529" s="127">
        <v>5</v>
      </c>
      <c r="F529" s="127">
        <v>1</v>
      </c>
      <c r="G529" s="130" t="s">
        <v>86</v>
      </c>
    </row>
    <row r="530" spans="2:7" x14ac:dyDescent="0.25">
      <c r="B530" s="126" t="s">
        <v>78</v>
      </c>
      <c r="C530" s="127">
        <v>25</v>
      </c>
      <c r="D530" s="127" t="s">
        <v>84</v>
      </c>
      <c r="E530" s="127">
        <v>1</v>
      </c>
      <c r="F530" s="127">
        <v>1</v>
      </c>
      <c r="G530" s="130" t="s">
        <v>140</v>
      </c>
    </row>
    <row r="531" spans="2:7" x14ac:dyDescent="0.25">
      <c r="B531" s="126" t="s">
        <v>78</v>
      </c>
      <c r="C531" s="127">
        <v>25</v>
      </c>
      <c r="D531" s="127" t="s">
        <v>80</v>
      </c>
      <c r="E531" s="127">
        <v>0</v>
      </c>
      <c r="F531" s="127">
        <v>0</v>
      </c>
      <c r="G531" s="130" t="s">
        <v>79</v>
      </c>
    </row>
    <row r="532" spans="2:7" x14ac:dyDescent="0.25">
      <c r="B532" s="126" t="s">
        <v>78</v>
      </c>
      <c r="C532" s="127">
        <v>25</v>
      </c>
      <c r="D532" s="127" t="s">
        <v>90</v>
      </c>
      <c r="E532" s="127">
        <v>0</v>
      </c>
      <c r="F532" s="127">
        <v>0</v>
      </c>
      <c r="G532" s="130" t="s">
        <v>139</v>
      </c>
    </row>
    <row r="533" spans="2:7" x14ac:dyDescent="0.25">
      <c r="B533" s="126" t="s">
        <v>78</v>
      </c>
      <c r="C533" s="127">
        <v>25</v>
      </c>
      <c r="D533" s="127" t="s">
        <v>173</v>
      </c>
      <c r="E533" s="127">
        <v>2</v>
      </c>
      <c r="F533" s="127">
        <v>0</v>
      </c>
      <c r="G533" s="130" t="s">
        <v>88</v>
      </c>
    </row>
    <row r="534" spans="2:7" x14ac:dyDescent="0.25">
      <c r="B534" s="126" t="s">
        <v>78</v>
      </c>
      <c r="C534" s="127">
        <v>26</v>
      </c>
      <c r="D534" s="127" t="s">
        <v>88</v>
      </c>
      <c r="E534" s="127">
        <v>2</v>
      </c>
      <c r="F534" s="127">
        <v>0</v>
      </c>
      <c r="G534" s="130" t="s">
        <v>93</v>
      </c>
    </row>
    <row r="535" spans="2:7" x14ac:dyDescent="0.25">
      <c r="B535" s="126" t="s">
        <v>78</v>
      </c>
      <c r="C535" s="127">
        <v>26</v>
      </c>
      <c r="D535" s="127" t="s">
        <v>86</v>
      </c>
      <c r="E535" s="127">
        <v>1</v>
      </c>
      <c r="F535" s="127">
        <v>0</v>
      </c>
      <c r="G535" s="130" t="s">
        <v>85</v>
      </c>
    </row>
    <row r="536" spans="2:7" x14ac:dyDescent="0.25">
      <c r="B536" s="126" t="s">
        <v>78</v>
      </c>
      <c r="C536" s="127">
        <v>26</v>
      </c>
      <c r="D536" s="127" t="s">
        <v>140</v>
      </c>
      <c r="E536" s="127">
        <v>3</v>
      </c>
      <c r="F536" s="127">
        <v>3</v>
      </c>
      <c r="G536" s="130" t="s">
        <v>94</v>
      </c>
    </row>
    <row r="537" spans="2:7" x14ac:dyDescent="0.25">
      <c r="B537" s="126" t="s">
        <v>78</v>
      </c>
      <c r="C537" s="127">
        <v>26</v>
      </c>
      <c r="D537" s="127" t="s">
        <v>139</v>
      </c>
      <c r="E537" s="127">
        <v>2</v>
      </c>
      <c r="F537" s="127">
        <v>2</v>
      </c>
      <c r="G537" s="130" t="s">
        <v>92</v>
      </c>
    </row>
    <row r="538" spans="2:7" x14ac:dyDescent="0.25">
      <c r="B538" s="126" t="s">
        <v>78</v>
      </c>
      <c r="C538" s="127">
        <v>26</v>
      </c>
      <c r="D538" s="127" t="s">
        <v>82</v>
      </c>
      <c r="E538" s="127">
        <v>3</v>
      </c>
      <c r="F538" s="127">
        <v>0</v>
      </c>
      <c r="G538" s="130" t="s">
        <v>84</v>
      </c>
    </row>
    <row r="539" spans="2:7" x14ac:dyDescent="0.25">
      <c r="B539" s="126" t="s">
        <v>78</v>
      </c>
      <c r="C539" s="127">
        <v>26</v>
      </c>
      <c r="D539" s="127" t="s">
        <v>172</v>
      </c>
      <c r="E539" s="127">
        <v>0</v>
      </c>
      <c r="F539" s="127">
        <v>2</v>
      </c>
      <c r="G539" s="130" t="s">
        <v>161</v>
      </c>
    </row>
    <row r="540" spans="2:7" x14ac:dyDescent="0.25">
      <c r="B540" s="126" t="s">
        <v>78</v>
      </c>
      <c r="C540" s="127">
        <v>26</v>
      </c>
      <c r="D540" s="127" t="s">
        <v>79</v>
      </c>
      <c r="E540" s="127">
        <v>5</v>
      </c>
      <c r="F540" s="127">
        <v>0</v>
      </c>
      <c r="G540" s="130" t="s">
        <v>87</v>
      </c>
    </row>
    <row r="541" spans="2:7" x14ac:dyDescent="0.25">
      <c r="B541" s="126" t="s">
        <v>78</v>
      </c>
      <c r="C541" s="127">
        <v>26</v>
      </c>
      <c r="D541" s="127" t="s">
        <v>83</v>
      </c>
      <c r="E541" s="127">
        <v>1</v>
      </c>
      <c r="F541" s="127">
        <v>0</v>
      </c>
      <c r="G541" s="130" t="s">
        <v>173</v>
      </c>
    </row>
    <row r="542" spans="2:7" x14ac:dyDescent="0.25">
      <c r="B542" s="126" t="s">
        <v>78</v>
      </c>
      <c r="C542" s="127">
        <v>26</v>
      </c>
      <c r="D542" s="127" t="s">
        <v>80</v>
      </c>
      <c r="E542" s="127">
        <v>2</v>
      </c>
      <c r="F542" s="127">
        <v>0</v>
      </c>
      <c r="G542" s="130" t="s">
        <v>90</v>
      </c>
    </row>
    <row r="543" spans="2:7" x14ac:dyDescent="0.25">
      <c r="B543" s="126" t="s">
        <v>78</v>
      </c>
      <c r="C543" s="127">
        <v>27</v>
      </c>
      <c r="D543" s="127" t="s">
        <v>93</v>
      </c>
      <c r="E543" s="127">
        <v>2</v>
      </c>
      <c r="F543" s="127">
        <v>1</v>
      </c>
      <c r="G543" s="130" t="s">
        <v>82</v>
      </c>
    </row>
    <row r="544" spans="2:7" x14ac:dyDescent="0.25">
      <c r="B544" s="126" t="s">
        <v>78</v>
      </c>
      <c r="C544" s="127">
        <v>27</v>
      </c>
      <c r="D544" s="127" t="s">
        <v>161</v>
      </c>
      <c r="E544" s="127">
        <v>0</v>
      </c>
      <c r="F544" s="127">
        <v>1</v>
      </c>
      <c r="G544" s="130" t="s">
        <v>79</v>
      </c>
    </row>
    <row r="545" spans="2:7" x14ac:dyDescent="0.25">
      <c r="B545" s="126" t="s">
        <v>78</v>
      </c>
      <c r="C545" s="127">
        <v>27</v>
      </c>
      <c r="D545" s="127" t="s">
        <v>173</v>
      </c>
      <c r="E545" s="127">
        <v>1</v>
      </c>
      <c r="F545" s="127">
        <v>3</v>
      </c>
      <c r="G545" s="130" t="s">
        <v>86</v>
      </c>
    </row>
    <row r="546" spans="2:7" x14ac:dyDescent="0.25">
      <c r="B546" s="126" t="s">
        <v>78</v>
      </c>
      <c r="C546" s="127">
        <v>27</v>
      </c>
      <c r="D546" s="127" t="s">
        <v>87</v>
      </c>
      <c r="E546" s="127">
        <v>1</v>
      </c>
      <c r="F546" s="127">
        <v>1</v>
      </c>
      <c r="G546" s="130" t="s">
        <v>90</v>
      </c>
    </row>
    <row r="547" spans="2:7" x14ac:dyDescent="0.25">
      <c r="B547" s="126" t="s">
        <v>78</v>
      </c>
      <c r="C547" s="127">
        <v>27</v>
      </c>
      <c r="D547" s="127" t="s">
        <v>88</v>
      </c>
      <c r="E547" s="127">
        <v>2</v>
      </c>
      <c r="F547" s="127">
        <v>1</v>
      </c>
      <c r="G547" s="130" t="s">
        <v>140</v>
      </c>
    </row>
    <row r="548" spans="2:7" x14ac:dyDescent="0.25">
      <c r="B548" s="126" t="s">
        <v>78</v>
      </c>
      <c r="C548" s="127">
        <v>27</v>
      </c>
      <c r="D548" s="127" t="s">
        <v>85</v>
      </c>
      <c r="E548" s="127">
        <v>1</v>
      </c>
      <c r="F548" s="127">
        <v>1</v>
      </c>
      <c r="G548" s="130" t="s">
        <v>139</v>
      </c>
    </row>
    <row r="549" spans="2:7" x14ac:dyDescent="0.25">
      <c r="B549" s="126" t="s">
        <v>78</v>
      </c>
      <c r="C549" s="127">
        <v>27</v>
      </c>
      <c r="D549" s="127" t="s">
        <v>84</v>
      </c>
      <c r="E549" s="127">
        <v>1</v>
      </c>
      <c r="F549" s="127">
        <v>0</v>
      </c>
      <c r="G549" s="130" t="s">
        <v>172</v>
      </c>
    </row>
    <row r="550" spans="2:7" x14ac:dyDescent="0.25">
      <c r="B550" s="126" t="s">
        <v>78</v>
      </c>
      <c r="C550" s="127">
        <v>27</v>
      </c>
      <c r="D550" s="127" t="s">
        <v>94</v>
      </c>
      <c r="E550" s="127">
        <v>0</v>
      </c>
      <c r="F550" s="127">
        <v>2</v>
      </c>
      <c r="G550" s="130" t="s">
        <v>83</v>
      </c>
    </row>
    <row r="551" spans="2:7" x14ac:dyDescent="0.25">
      <c r="B551" s="126" t="s">
        <v>78</v>
      </c>
      <c r="C551" s="127">
        <v>27</v>
      </c>
      <c r="D551" s="127" t="s">
        <v>92</v>
      </c>
      <c r="E551" s="127">
        <v>1</v>
      </c>
      <c r="F551" s="127">
        <v>3</v>
      </c>
      <c r="G551" s="130" t="s">
        <v>80</v>
      </c>
    </row>
    <row r="552" spans="2:7" x14ac:dyDescent="0.25">
      <c r="B552" s="126" t="s">
        <v>78</v>
      </c>
      <c r="C552" s="127">
        <v>28</v>
      </c>
      <c r="D552" s="127" t="s">
        <v>83</v>
      </c>
      <c r="E552" s="127">
        <v>3</v>
      </c>
      <c r="F552" s="127">
        <v>0</v>
      </c>
      <c r="G552" s="130" t="s">
        <v>85</v>
      </c>
    </row>
    <row r="553" spans="2:7" x14ac:dyDescent="0.25">
      <c r="B553" s="126" t="s">
        <v>78</v>
      </c>
      <c r="C553" s="127">
        <v>28</v>
      </c>
      <c r="D553" s="127" t="s">
        <v>140</v>
      </c>
      <c r="E553" s="127">
        <v>3</v>
      </c>
      <c r="F553" s="127">
        <v>0</v>
      </c>
      <c r="G553" s="130" t="s">
        <v>93</v>
      </c>
    </row>
    <row r="554" spans="2:7" x14ac:dyDescent="0.25">
      <c r="B554" s="126" t="s">
        <v>78</v>
      </c>
      <c r="C554" s="127">
        <v>28</v>
      </c>
      <c r="D554" s="127" t="s">
        <v>172</v>
      </c>
      <c r="E554" s="127">
        <v>0</v>
      </c>
      <c r="F554" s="127">
        <v>3</v>
      </c>
      <c r="G554" s="130" t="s">
        <v>173</v>
      </c>
    </row>
    <row r="555" spans="2:7" x14ac:dyDescent="0.25">
      <c r="B555" s="126" t="s">
        <v>78</v>
      </c>
      <c r="C555" s="127">
        <v>28</v>
      </c>
      <c r="D555" s="127" t="s">
        <v>139</v>
      </c>
      <c r="E555" s="127">
        <v>2</v>
      </c>
      <c r="F555" s="127">
        <v>2</v>
      </c>
      <c r="G555" s="130" t="s">
        <v>94</v>
      </c>
    </row>
    <row r="556" spans="2:7" x14ac:dyDescent="0.25">
      <c r="B556" s="126" t="s">
        <v>78</v>
      </c>
      <c r="C556" s="127">
        <v>28</v>
      </c>
      <c r="D556" s="127" t="s">
        <v>90</v>
      </c>
      <c r="E556" s="127">
        <v>4</v>
      </c>
      <c r="F556" s="127">
        <v>2</v>
      </c>
      <c r="G556" s="130" t="s">
        <v>92</v>
      </c>
    </row>
    <row r="557" spans="2:7" x14ac:dyDescent="0.25">
      <c r="B557" s="126" t="s">
        <v>78</v>
      </c>
      <c r="C557" s="127">
        <v>28</v>
      </c>
      <c r="D557" s="127" t="s">
        <v>79</v>
      </c>
      <c r="E557" s="127">
        <v>1</v>
      </c>
      <c r="F557" s="127">
        <v>0</v>
      </c>
      <c r="G557" s="130" t="s">
        <v>84</v>
      </c>
    </row>
    <row r="558" spans="2:7" x14ac:dyDescent="0.25">
      <c r="B558" s="126" t="s">
        <v>78</v>
      </c>
      <c r="C558" s="127">
        <v>28</v>
      </c>
      <c r="D558" s="127" t="s">
        <v>80</v>
      </c>
      <c r="E558" s="127">
        <v>3</v>
      </c>
      <c r="F558" s="127">
        <v>2</v>
      </c>
      <c r="G558" s="130" t="s">
        <v>87</v>
      </c>
    </row>
    <row r="559" spans="2:7" x14ac:dyDescent="0.25">
      <c r="B559" s="126" t="s">
        <v>78</v>
      </c>
      <c r="C559" s="127">
        <v>28</v>
      </c>
      <c r="D559" s="127" t="s">
        <v>82</v>
      </c>
      <c r="E559" s="127">
        <v>5</v>
      </c>
      <c r="F559" s="127">
        <v>0</v>
      </c>
      <c r="G559" s="130" t="s">
        <v>88</v>
      </c>
    </row>
    <row r="560" spans="2:7" x14ac:dyDescent="0.25">
      <c r="B560" s="126" t="s">
        <v>78</v>
      </c>
      <c r="C560" s="127">
        <v>28</v>
      </c>
      <c r="D560" s="127" t="s">
        <v>86</v>
      </c>
      <c r="E560" s="127">
        <v>1</v>
      </c>
      <c r="F560" s="127">
        <v>1</v>
      </c>
      <c r="G560" s="130" t="s">
        <v>161</v>
      </c>
    </row>
    <row r="561" spans="2:7" x14ac:dyDescent="0.25">
      <c r="B561" s="126" t="s">
        <v>78</v>
      </c>
      <c r="C561" s="127">
        <v>29</v>
      </c>
      <c r="D561" s="127" t="s">
        <v>88</v>
      </c>
      <c r="E561" s="127">
        <v>2</v>
      </c>
      <c r="F561" s="127">
        <v>2</v>
      </c>
      <c r="G561" s="130" t="s">
        <v>172</v>
      </c>
    </row>
    <row r="562" spans="2:7" x14ac:dyDescent="0.25">
      <c r="B562" s="126" t="s">
        <v>78</v>
      </c>
      <c r="C562" s="127">
        <v>29</v>
      </c>
      <c r="D562" s="127" t="s">
        <v>94</v>
      </c>
      <c r="E562" s="127">
        <v>1</v>
      </c>
      <c r="F562" s="127">
        <v>3</v>
      </c>
      <c r="G562" s="130" t="s">
        <v>79</v>
      </c>
    </row>
    <row r="563" spans="2:7" x14ac:dyDescent="0.25">
      <c r="B563" s="126" t="s">
        <v>78</v>
      </c>
      <c r="C563" s="127">
        <v>29</v>
      </c>
      <c r="D563" s="127" t="s">
        <v>140</v>
      </c>
      <c r="E563" s="127">
        <v>1</v>
      </c>
      <c r="F563" s="127">
        <v>0</v>
      </c>
      <c r="G563" s="130" t="s">
        <v>82</v>
      </c>
    </row>
    <row r="564" spans="2:7" x14ac:dyDescent="0.25">
      <c r="B564" s="126" t="s">
        <v>78</v>
      </c>
      <c r="C564" s="127">
        <v>29</v>
      </c>
      <c r="D564" s="127" t="s">
        <v>87</v>
      </c>
      <c r="E564" s="127">
        <v>1</v>
      </c>
      <c r="F564" s="127">
        <v>2</v>
      </c>
      <c r="G564" s="130" t="s">
        <v>92</v>
      </c>
    </row>
    <row r="565" spans="2:7" x14ac:dyDescent="0.25">
      <c r="B565" s="126" t="s">
        <v>78</v>
      </c>
      <c r="C565" s="127">
        <v>29</v>
      </c>
      <c r="D565" s="127" t="s">
        <v>84</v>
      </c>
      <c r="E565" s="127">
        <v>0</v>
      </c>
      <c r="F565" s="127">
        <v>2</v>
      </c>
      <c r="G565" s="130" t="s">
        <v>86</v>
      </c>
    </row>
    <row r="566" spans="2:7" x14ac:dyDescent="0.25">
      <c r="B566" s="126" t="s">
        <v>78</v>
      </c>
      <c r="C566" s="127">
        <v>29</v>
      </c>
      <c r="D566" s="127" t="s">
        <v>173</v>
      </c>
      <c r="E566" s="127">
        <v>1</v>
      </c>
      <c r="F566" s="127">
        <v>2</v>
      </c>
      <c r="G566" s="130" t="s">
        <v>139</v>
      </c>
    </row>
    <row r="567" spans="2:7" x14ac:dyDescent="0.25">
      <c r="B567" s="126" t="s">
        <v>78</v>
      </c>
      <c r="C567" s="127">
        <v>29</v>
      </c>
      <c r="D567" s="127" t="s">
        <v>85</v>
      </c>
      <c r="E567" s="127">
        <v>1</v>
      </c>
      <c r="F567" s="127">
        <v>1</v>
      </c>
      <c r="G567" s="130" t="s">
        <v>90</v>
      </c>
    </row>
    <row r="568" spans="2:7" x14ac:dyDescent="0.25">
      <c r="B568" s="126" t="s">
        <v>78</v>
      </c>
      <c r="C568" s="127">
        <v>29</v>
      </c>
      <c r="D568" s="127" t="s">
        <v>93</v>
      </c>
      <c r="E568" s="127">
        <v>2</v>
      </c>
      <c r="F568" s="127">
        <v>2</v>
      </c>
      <c r="G568" s="130" t="s">
        <v>80</v>
      </c>
    </row>
    <row r="569" spans="2:7" x14ac:dyDescent="0.25">
      <c r="B569" s="126" t="s">
        <v>78</v>
      </c>
      <c r="C569" s="127">
        <v>29</v>
      </c>
      <c r="D569" s="127" t="s">
        <v>161</v>
      </c>
      <c r="E569" s="127">
        <v>0</v>
      </c>
      <c r="F569" s="127">
        <v>2</v>
      </c>
      <c r="G569" s="130" t="s">
        <v>83</v>
      </c>
    </row>
    <row r="570" spans="2:7" x14ac:dyDescent="0.25">
      <c r="B570" s="126" t="s">
        <v>78</v>
      </c>
      <c r="C570" s="127">
        <v>30</v>
      </c>
      <c r="D570" s="127" t="s">
        <v>172</v>
      </c>
      <c r="E570" s="127">
        <v>2</v>
      </c>
      <c r="F570" s="127">
        <v>0</v>
      </c>
      <c r="G570" s="130" t="s">
        <v>82</v>
      </c>
    </row>
    <row r="571" spans="2:7" x14ac:dyDescent="0.25">
      <c r="B571" s="126" t="s">
        <v>78</v>
      </c>
      <c r="C571" s="127">
        <v>30</v>
      </c>
      <c r="D571" s="127" t="s">
        <v>87</v>
      </c>
      <c r="E571" s="127">
        <v>3</v>
      </c>
      <c r="F571" s="127">
        <v>2</v>
      </c>
      <c r="G571" s="130" t="s">
        <v>85</v>
      </c>
    </row>
    <row r="572" spans="2:7" x14ac:dyDescent="0.25">
      <c r="B572" s="126" t="s">
        <v>78</v>
      </c>
      <c r="C572" s="127">
        <v>30</v>
      </c>
      <c r="D572" s="127" t="s">
        <v>92</v>
      </c>
      <c r="E572" s="127">
        <v>1</v>
      </c>
      <c r="F572" s="127">
        <v>0</v>
      </c>
      <c r="G572" s="130" t="s">
        <v>94</v>
      </c>
    </row>
    <row r="573" spans="2:7" x14ac:dyDescent="0.25">
      <c r="B573" s="126" t="s">
        <v>78</v>
      </c>
      <c r="C573" s="127">
        <v>30</v>
      </c>
      <c r="D573" s="127" t="s">
        <v>83</v>
      </c>
      <c r="E573" s="127">
        <v>3</v>
      </c>
      <c r="F573" s="127">
        <v>0</v>
      </c>
      <c r="G573" s="130" t="s">
        <v>84</v>
      </c>
    </row>
    <row r="574" spans="2:7" x14ac:dyDescent="0.25">
      <c r="B574" s="126" t="s">
        <v>78</v>
      </c>
      <c r="C574" s="127">
        <v>30</v>
      </c>
      <c r="D574" s="127" t="s">
        <v>86</v>
      </c>
      <c r="E574" s="127">
        <v>2</v>
      </c>
      <c r="F574" s="127">
        <v>1</v>
      </c>
      <c r="G574" s="130" t="s">
        <v>88</v>
      </c>
    </row>
    <row r="575" spans="2:7" x14ac:dyDescent="0.25">
      <c r="B575" s="126" t="s">
        <v>78</v>
      </c>
      <c r="C575" s="127">
        <v>30</v>
      </c>
      <c r="D575" s="127" t="s">
        <v>139</v>
      </c>
      <c r="E575" s="127">
        <v>2</v>
      </c>
      <c r="F575" s="127">
        <v>0</v>
      </c>
      <c r="G575" s="130" t="s">
        <v>140</v>
      </c>
    </row>
    <row r="576" spans="2:7" x14ac:dyDescent="0.25">
      <c r="B576" s="126" t="s">
        <v>78</v>
      </c>
      <c r="C576" s="127">
        <v>30</v>
      </c>
      <c r="D576" s="127" t="s">
        <v>79</v>
      </c>
      <c r="E576" s="127">
        <v>3</v>
      </c>
      <c r="F576" s="127">
        <v>0</v>
      </c>
      <c r="G576" s="130" t="s">
        <v>93</v>
      </c>
    </row>
    <row r="577" spans="2:7" x14ac:dyDescent="0.25">
      <c r="B577" s="126" t="s">
        <v>78</v>
      </c>
      <c r="C577" s="127">
        <v>30</v>
      </c>
      <c r="D577" s="127" t="s">
        <v>80</v>
      </c>
      <c r="E577" s="127">
        <v>3</v>
      </c>
      <c r="F577" s="127">
        <v>0</v>
      </c>
      <c r="G577" s="130" t="s">
        <v>173</v>
      </c>
    </row>
    <row r="578" spans="2:7" x14ac:dyDescent="0.25">
      <c r="B578" s="126" t="s">
        <v>78</v>
      </c>
      <c r="C578" s="127">
        <v>30</v>
      </c>
      <c r="D578" s="127" t="s">
        <v>90</v>
      </c>
      <c r="E578" s="127">
        <v>2</v>
      </c>
      <c r="F578" s="127">
        <v>3</v>
      </c>
      <c r="G578" s="130" t="s">
        <v>161</v>
      </c>
    </row>
    <row r="579" spans="2:7" x14ac:dyDescent="0.25">
      <c r="B579" s="126" t="s">
        <v>78</v>
      </c>
      <c r="C579" s="127">
        <v>31</v>
      </c>
      <c r="D579" s="127" t="s">
        <v>173</v>
      </c>
      <c r="E579" s="127">
        <v>2</v>
      </c>
      <c r="F579" s="127">
        <v>1</v>
      </c>
      <c r="G579" s="130" t="s">
        <v>87</v>
      </c>
    </row>
    <row r="580" spans="2:7" x14ac:dyDescent="0.25">
      <c r="B580" s="126" t="s">
        <v>78</v>
      </c>
      <c r="C580" s="127">
        <v>31</v>
      </c>
      <c r="D580" s="127" t="s">
        <v>88</v>
      </c>
      <c r="E580" s="127">
        <v>0</v>
      </c>
      <c r="F580" s="127">
        <v>2</v>
      </c>
      <c r="G580" s="130" t="s">
        <v>79</v>
      </c>
    </row>
    <row r="581" spans="2:7" x14ac:dyDescent="0.25">
      <c r="B581" s="126" t="s">
        <v>78</v>
      </c>
      <c r="C581" s="127">
        <v>31</v>
      </c>
      <c r="D581" s="127" t="s">
        <v>94</v>
      </c>
      <c r="E581" s="127">
        <v>0</v>
      </c>
      <c r="F581" s="127">
        <v>3</v>
      </c>
      <c r="G581" s="130" t="s">
        <v>80</v>
      </c>
    </row>
    <row r="582" spans="2:7" x14ac:dyDescent="0.25">
      <c r="B582" s="126" t="s">
        <v>78</v>
      </c>
      <c r="C582" s="127">
        <v>31</v>
      </c>
      <c r="D582" s="127" t="s">
        <v>85</v>
      </c>
      <c r="E582" s="127">
        <v>0</v>
      </c>
      <c r="F582" s="127">
        <v>2</v>
      </c>
      <c r="G582" s="130" t="s">
        <v>92</v>
      </c>
    </row>
    <row r="583" spans="2:7" x14ac:dyDescent="0.25">
      <c r="B583" s="126" t="s">
        <v>78</v>
      </c>
      <c r="C583" s="127">
        <v>31</v>
      </c>
      <c r="D583" s="127" t="s">
        <v>140</v>
      </c>
      <c r="E583" s="127">
        <v>2</v>
      </c>
      <c r="F583" s="127">
        <v>2</v>
      </c>
      <c r="G583" s="130" t="s">
        <v>172</v>
      </c>
    </row>
    <row r="584" spans="2:7" x14ac:dyDescent="0.25">
      <c r="B584" s="126" t="s">
        <v>78</v>
      </c>
      <c r="C584" s="127">
        <v>31</v>
      </c>
      <c r="D584" s="127" t="s">
        <v>161</v>
      </c>
      <c r="E584" s="127">
        <v>4</v>
      </c>
      <c r="F584" s="127">
        <v>1</v>
      </c>
      <c r="G584" s="130" t="s">
        <v>139</v>
      </c>
    </row>
    <row r="585" spans="2:7" x14ac:dyDescent="0.25">
      <c r="B585" s="126" t="s">
        <v>78</v>
      </c>
      <c r="C585" s="127">
        <v>31</v>
      </c>
      <c r="D585" s="127" t="s">
        <v>93</v>
      </c>
      <c r="E585" s="127">
        <v>2</v>
      </c>
      <c r="F585" s="127">
        <v>3</v>
      </c>
      <c r="G585" s="130" t="s">
        <v>83</v>
      </c>
    </row>
    <row r="586" spans="2:7" x14ac:dyDescent="0.25">
      <c r="B586" s="126" t="s">
        <v>78</v>
      </c>
      <c r="C586" s="127">
        <v>31</v>
      </c>
      <c r="D586" s="127" t="s">
        <v>82</v>
      </c>
      <c r="E586" s="127">
        <v>3</v>
      </c>
      <c r="F586" s="127">
        <v>1</v>
      </c>
      <c r="G586" s="130" t="s">
        <v>86</v>
      </c>
    </row>
    <row r="587" spans="2:7" x14ac:dyDescent="0.25">
      <c r="B587" s="126" t="s">
        <v>78</v>
      </c>
      <c r="C587" s="127">
        <v>31</v>
      </c>
      <c r="D587" s="127" t="s">
        <v>84</v>
      </c>
      <c r="E587" s="127">
        <v>2</v>
      </c>
      <c r="F587" s="127">
        <v>1</v>
      </c>
      <c r="G587" s="130" t="s">
        <v>90</v>
      </c>
    </row>
    <row r="588" spans="2:7" x14ac:dyDescent="0.25">
      <c r="B588" s="126" t="s">
        <v>78</v>
      </c>
      <c r="C588" s="127">
        <v>32</v>
      </c>
      <c r="D588" s="127" t="s">
        <v>92</v>
      </c>
      <c r="E588" s="127">
        <v>0</v>
      </c>
      <c r="F588" s="127">
        <v>0</v>
      </c>
      <c r="G588" s="130" t="s">
        <v>161</v>
      </c>
    </row>
    <row r="589" spans="2:7" x14ac:dyDescent="0.25">
      <c r="B589" s="126" t="s">
        <v>78</v>
      </c>
      <c r="C589" s="127">
        <v>32</v>
      </c>
      <c r="D589" s="127" t="s">
        <v>172</v>
      </c>
      <c r="E589" s="127">
        <v>1</v>
      </c>
      <c r="F589" s="127">
        <v>3</v>
      </c>
      <c r="G589" s="130" t="s">
        <v>93</v>
      </c>
    </row>
    <row r="590" spans="2:7" x14ac:dyDescent="0.25">
      <c r="B590" s="126" t="s">
        <v>78</v>
      </c>
      <c r="C590" s="127">
        <v>32</v>
      </c>
      <c r="D590" s="127" t="s">
        <v>79</v>
      </c>
      <c r="E590" s="127">
        <v>1</v>
      </c>
      <c r="F590" s="127">
        <v>1</v>
      </c>
      <c r="G590" s="130" t="s">
        <v>82</v>
      </c>
    </row>
    <row r="591" spans="2:7" x14ac:dyDescent="0.25">
      <c r="B591" s="126" t="s">
        <v>78</v>
      </c>
      <c r="C591" s="127">
        <v>32</v>
      </c>
      <c r="D591" s="127" t="s">
        <v>80</v>
      </c>
      <c r="E591" s="127">
        <v>5</v>
      </c>
      <c r="F591" s="127">
        <v>1</v>
      </c>
      <c r="G591" s="130" t="s">
        <v>85</v>
      </c>
    </row>
    <row r="592" spans="2:7" x14ac:dyDescent="0.25">
      <c r="B592" s="126" t="s">
        <v>78</v>
      </c>
      <c r="C592" s="127">
        <v>32</v>
      </c>
      <c r="D592" s="127" t="s">
        <v>90</v>
      </c>
      <c r="E592" s="127">
        <v>0</v>
      </c>
      <c r="F592" s="127">
        <v>0</v>
      </c>
      <c r="G592" s="130" t="s">
        <v>173</v>
      </c>
    </row>
    <row r="593" spans="2:7" x14ac:dyDescent="0.25">
      <c r="B593" s="126" t="s">
        <v>78</v>
      </c>
      <c r="C593" s="127">
        <v>32</v>
      </c>
      <c r="D593" s="127" t="s">
        <v>139</v>
      </c>
      <c r="E593" s="127">
        <v>1</v>
      </c>
      <c r="F593" s="127">
        <v>2</v>
      </c>
      <c r="G593" s="130" t="s">
        <v>84</v>
      </c>
    </row>
    <row r="594" spans="2:7" x14ac:dyDescent="0.25">
      <c r="B594" s="126" t="s">
        <v>78</v>
      </c>
      <c r="C594" s="127">
        <v>32</v>
      </c>
      <c r="D594" s="127" t="s">
        <v>86</v>
      </c>
      <c r="E594" s="127">
        <v>2</v>
      </c>
      <c r="F594" s="127">
        <v>1</v>
      </c>
      <c r="G594" s="130" t="s">
        <v>140</v>
      </c>
    </row>
    <row r="595" spans="2:7" x14ac:dyDescent="0.25">
      <c r="B595" s="126" t="s">
        <v>78</v>
      </c>
      <c r="C595" s="127">
        <v>32</v>
      </c>
      <c r="D595" s="127" t="s">
        <v>83</v>
      </c>
      <c r="E595" s="127">
        <v>2</v>
      </c>
      <c r="F595" s="127">
        <v>1</v>
      </c>
      <c r="G595" s="130" t="s">
        <v>88</v>
      </c>
    </row>
    <row r="596" spans="2:7" x14ac:dyDescent="0.25">
      <c r="B596" s="126" t="s">
        <v>78</v>
      </c>
      <c r="C596" s="127">
        <v>32</v>
      </c>
      <c r="D596" s="127" t="s">
        <v>87</v>
      </c>
      <c r="E596" s="127">
        <v>6</v>
      </c>
      <c r="F596" s="127">
        <v>2</v>
      </c>
      <c r="G596" s="130" t="s">
        <v>94</v>
      </c>
    </row>
    <row r="597" spans="2:7" x14ac:dyDescent="0.25">
      <c r="B597" s="126" t="s">
        <v>78</v>
      </c>
      <c r="C597" s="127">
        <v>33</v>
      </c>
      <c r="D597" s="127" t="s">
        <v>140</v>
      </c>
      <c r="E597" s="127">
        <v>1</v>
      </c>
      <c r="F597" s="127">
        <v>2</v>
      </c>
      <c r="G597" s="130" t="s">
        <v>79</v>
      </c>
    </row>
    <row r="598" spans="2:7" x14ac:dyDescent="0.25">
      <c r="B598" s="126" t="s">
        <v>78</v>
      </c>
      <c r="C598" s="127">
        <v>33</v>
      </c>
      <c r="D598" s="127" t="s">
        <v>84</v>
      </c>
      <c r="E598" s="127">
        <v>1</v>
      </c>
      <c r="F598" s="127">
        <v>0</v>
      </c>
      <c r="G598" s="130" t="s">
        <v>80</v>
      </c>
    </row>
    <row r="599" spans="2:7" x14ac:dyDescent="0.25">
      <c r="B599" s="126" t="s">
        <v>78</v>
      </c>
      <c r="C599" s="127">
        <v>33</v>
      </c>
      <c r="D599" s="127" t="s">
        <v>82</v>
      </c>
      <c r="E599" s="127">
        <v>2</v>
      </c>
      <c r="F599" s="127">
        <v>1</v>
      </c>
      <c r="G599" s="130" t="s">
        <v>83</v>
      </c>
    </row>
    <row r="600" spans="2:7" x14ac:dyDescent="0.25">
      <c r="B600" s="126" t="s">
        <v>78</v>
      </c>
      <c r="C600" s="127">
        <v>33</v>
      </c>
      <c r="D600" s="127" t="s">
        <v>173</v>
      </c>
      <c r="E600" s="127">
        <v>0</v>
      </c>
      <c r="F600" s="127">
        <v>1</v>
      </c>
      <c r="G600" s="130" t="s">
        <v>85</v>
      </c>
    </row>
    <row r="601" spans="2:7" x14ac:dyDescent="0.25">
      <c r="B601" s="126" t="s">
        <v>78</v>
      </c>
      <c r="C601" s="127">
        <v>33</v>
      </c>
      <c r="D601" s="127" t="s">
        <v>93</v>
      </c>
      <c r="E601" s="127">
        <v>1</v>
      </c>
      <c r="F601" s="127">
        <v>1</v>
      </c>
      <c r="G601" s="130" t="s">
        <v>92</v>
      </c>
    </row>
    <row r="602" spans="2:7" x14ac:dyDescent="0.25">
      <c r="B602" s="126" t="s">
        <v>78</v>
      </c>
      <c r="C602" s="127">
        <v>33</v>
      </c>
      <c r="D602" s="127" t="s">
        <v>161</v>
      </c>
      <c r="E602" s="127">
        <v>0</v>
      </c>
      <c r="F602" s="127">
        <v>0</v>
      </c>
      <c r="G602" s="130" t="s">
        <v>87</v>
      </c>
    </row>
    <row r="603" spans="2:7" x14ac:dyDescent="0.25">
      <c r="B603" s="126" t="s">
        <v>78</v>
      </c>
      <c r="C603" s="127">
        <v>33</v>
      </c>
      <c r="D603" s="127" t="s">
        <v>172</v>
      </c>
      <c r="E603" s="127">
        <v>1</v>
      </c>
      <c r="F603" s="127">
        <v>0</v>
      </c>
      <c r="G603" s="130" t="s">
        <v>86</v>
      </c>
    </row>
    <row r="604" spans="2:7" x14ac:dyDescent="0.25">
      <c r="B604" s="126" t="s">
        <v>78</v>
      </c>
      <c r="C604" s="127">
        <v>33</v>
      </c>
      <c r="D604" s="127" t="s">
        <v>94</v>
      </c>
      <c r="E604" s="127">
        <v>1</v>
      </c>
      <c r="F604" s="127">
        <v>3</v>
      </c>
      <c r="G604" s="130" t="s">
        <v>90</v>
      </c>
    </row>
    <row r="605" spans="2:7" x14ac:dyDescent="0.25">
      <c r="B605" s="126" t="s">
        <v>78</v>
      </c>
      <c r="C605" s="127">
        <v>33</v>
      </c>
      <c r="D605" s="127" t="s">
        <v>88</v>
      </c>
      <c r="E605" s="127">
        <v>1</v>
      </c>
      <c r="F605" s="127">
        <v>2</v>
      </c>
      <c r="G605" s="130" t="s">
        <v>139</v>
      </c>
    </row>
    <row r="606" spans="2:7" x14ac:dyDescent="0.25">
      <c r="B606" s="126" t="s">
        <v>78</v>
      </c>
      <c r="C606" s="127">
        <v>34</v>
      </c>
      <c r="D606" s="127" t="s">
        <v>86</v>
      </c>
      <c r="E606" s="127">
        <v>1</v>
      </c>
      <c r="F606" s="127">
        <v>4</v>
      </c>
      <c r="G606" s="130" t="s">
        <v>93</v>
      </c>
    </row>
    <row r="607" spans="2:7" x14ac:dyDescent="0.25">
      <c r="B607" s="126" t="s">
        <v>78</v>
      </c>
      <c r="C607" s="127">
        <v>34</v>
      </c>
      <c r="D607" s="127" t="s">
        <v>139</v>
      </c>
      <c r="E607" s="127">
        <v>0</v>
      </c>
      <c r="F607" s="127">
        <v>2</v>
      </c>
      <c r="G607" s="130" t="s">
        <v>82</v>
      </c>
    </row>
    <row r="608" spans="2:7" x14ac:dyDescent="0.25">
      <c r="B608" s="126" t="s">
        <v>78</v>
      </c>
      <c r="C608" s="127">
        <v>34</v>
      </c>
      <c r="D608" s="127" t="s">
        <v>92</v>
      </c>
      <c r="E608" s="127">
        <v>1</v>
      </c>
      <c r="F608" s="127">
        <v>3</v>
      </c>
      <c r="G608" s="130" t="s">
        <v>173</v>
      </c>
    </row>
    <row r="609" spans="2:7" x14ac:dyDescent="0.25">
      <c r="B609" s="126" t="s">
        <v>78</v>
      </c>
      <c r="C609" s="127">
        <v>34</v>
      </c>
      <c r="D609" s="127" t="s">
        <v>85</v>
      </c>
      <c r="E609" s="127">
        <v>3</v>
      </c>
      <c r="F609" s="127">
        <v>1</v>
      </c>
      <c r="G609" s="130" t="s">
        <v>94</v>
      </c>
    </row>
    <row r="610" spans="2:7" x14ac:dyDescent="0.25">
      <c r="B610" s="126" t="s">
        <v>78</v>
      </c>
      <c r="C610" s="127">
        <v>34</v>
      </c>
      <c r="D610" s="127" t="s">
        <v>87</v>
      </c>
      <c r="E610" s="127">
        <v>1</v>
      </c>
      <c r="F610" s="127">
        <v>0</v>
      </c>
      <c r="G610" s="130" t="s">
        <v>84</v>
      </c>
    </row>
    <row r="611" spans="2:7" x14ac:dyDescent="0.25">
      <c r="B611" s="126" t="s">
        <v>78</v>
      </c>
      <c r="C611" s="127">
        <v>34</v>
      </c>
      <c r="D611" s="127" t="s">
        <v>80</v>
      </c>
      <c r="E611" s="127">
        <v>2</v>
      </c>
      <c r="F611" s="127">
        <v>2</v>
      </c>
      <c r="G611" s="130" t="s">
        <v>161</v>
      </c>
    </row>
    <row r="612" spans="2:7" x14ac:dyDescent="0.25">
      <c r="B612" s="126" t="s">
        <v>78</v>
      </c>
      <c r="C612" s="127">
        <v>34</v>
      </c>
      <c r="D612" s="127" t="s">
        <v>79</v>
      </c>
      <c r="E612" s="127">
        <v>3</v>
      </c>
      <c r="F612" s="127">
        <v>1</v>
      </c>
      <c r="G612" s="130" t="s">
        <v>172</v>
      </c>
    </row>
    <row r="613" spans="2:7" x14ac:dyDescent="0.25">
      <c r="B613" s="126" t="s">
        <v>78</v>
      </c>
      <c r="C613" s="127">
        <v>34</v>
      </c>
      <c r="D613" s="127" t="s">
        <v>90</v>
      </c>
      <c r="E613" s="127">
        <v>0</v>
      </c>
      <c r="F613" s="127">
        <v>0</v>
      </c>
      <c r="G613" s="130" t="s">
        <v>88</v>
      </c>
    </row>
    <row r="614" spans="2:7" x14ac:dyDescent="0.25">
      <c r="B614" s="126" t="s">
        <v>78</v>
      </c>
      <c r="C614" s="127">
        <v>34</v>
      </c>
      <c r="D614" s="127" t="s">
        <v>83</v>
      </c>
      <c r="E614" s="127">
        <v>3</v>
      </c>
      <c r="F614" s="127">
        <v>2</v>
      </c>
      <c r="G614" s="130" t="s">
        <v>140</v>
      </c>
    </row>
    <row r="615" spans="2:7" x14ac:dyDescent="0.25">
      <c r="B615" s="126" t="s">
        <v>77</v>
      </c>
      <c r="C615" s="127">
        <v>1</v>
      </c>
      <c r="D615" s="127" t="s">
        <v>79</v>
      </c>
      <c r="E615" s="127">
        <v>6</v>
      </c>
      <c r="F615" s="127">
        <v>0</v>
      </c>
      <c r="G615" s="130" t="s">
        <v>87</v>
      </c>
    </row>
    <row r="616" spans="2:7" x14ac:dyDescent="0.25">
      <c r="B616" s="126" t="s">
        <v>77</v>
      </c>
      <c r="C616" s="127">
        <v>1</v>
      </c>
      <c r="D616" s="127" t="s">
        <v>84</v>
      </c>
      <c r="E616" s="127">
        <v>1</v>
      </c>
      <c r="F616" s="127">
        <v>0</v>
      </c>
      <c r="G616" s="130" t="s">
        <v>93</v>
      </c>
    </row>
    <row r="617" spans="2:7" x14ac:dyDescent="0.25">
      <c r="B617" s="126" t="s">
        <v>77</v>
      </c>
      <c r="C617" s="127">
        <v>1</v>
      </c>
      <c r="D617" s="127" t="s">
        <v>92</v>
      </c>
      <c r="E617" s="127">
        <v>0</v>
      </c>
      <c r="F617" s="127">
        <v>2</v>
      </c>
      <c r="G617" s="130" t="s">
        <v>85</v>
      </c>
    </row>
    <row r="618" spans="2:7" x14ac:dyDescent="0.25">
      <c r="B618" s="126" t="s">
        <v>77</v>
      </c>
      <c r="C618" s="127">
        <v>1</v>
      </c>
      <c r="D618" s="127" t="s">
        <v>173</v>
      </c>
      <c r="E618" s="127">
        <v>1</v>
      </c>
      <c r="F618" s="127">
        <v>1</v>
      </c>
      <c r="G618" s="130" t="s">
        <v>140</v>
      </c>
    </row>
    <row r="619" spans="2:7" x14ac:dyDescent="0.25">
      <c r="B619" s="126" t="s">
        <v>77</v>
      </c>
      <c r="C619" s="127">
        <v>1</v>
      </c>
      <c r="D619" s="127" t="s">
        <v>161</v>
      </c>
      <c r="E619" s="127">
        <v>2</v>
      </c>
      <c r="F619" s="127">
        <v>0</v>
      </c>
      <c r="G619" s="130" t="s">
        <v>139</v>
      </c>
    </row>
    <row r="620" spans="2:7" x14ac:dyDescent="0.25">
      <c r="B620" s="126" t="s">
        <v>77</v>
      </c>
      <c r="C620" s="127">
        <v>1</v>
      </c>
      <c r="D620" s="127" t="s">
        <v>80</v>
      </c>
      <c r="E620" s="127">
        <v>2</v>
      </c>
      <c r="F620" s="127">
        <v>1</v>
      </c>
      <c r="G620" s="130" t="s">
        <v>90</v>
      </c>
    </row>
    <row r="621" spans="2:7" x14ac:dyDescent="0.25">
      <c r="B621" s="126" t="s">
        <v>77</v>
      </c>
      <c r="C621" s="127">
        <v>1</v>
      </c>
      <c r="D621" s="127" t="s">
        <v>82</v>
      </c>
      <c r="E621" s="127">
        <v>2</v>
      </c>
      <c r="F621" s="127">
        <v>1</v>
      </c>
      <c r="G621" s="130" t="s">
        <v>83</v>
      </c>
    </row>
    <row r="622" spans="2:7" x14ac:dyDescent="0.25">
      <c r="B622" s="126" t="s">
        <v>77</v>
      </c>
      <c r="C622" s="127">
        <v>1</v>
      </c>
      <c r="D622" s="127" t="s">
        <v>88</v>
      </c>
      <c r="E622" s="127">
        <v>2</v>
      </c>
      <c r="F622" s="127">
        <v>1</v>
      </c>
      <c r="G622" s="130" t="s">
        <v>91</v>
      </c>
    </row>
    <row r="623" spans="2:7" x14ac:dyDescent="0.25">
      <c r="B623" s="126" t="s">
        <v>77</v>
      </c>
      <c r="C623" s="127">
        <v>1</v>
      </c>
      <c r="D623" s="127" t="s">
        <v>86</v>
      </c>
      <c r="E623" s="127">
        <v>2</v>
      </c>
      <c r="F623" s="127">
        <v>2</v>
      </c>
      <c r="G623" s="130" t="s">
        <v>81</v>
      </c>
    </row>
    <row r="624" spans="2:7" x14ac:dyDescent="0.25">
      <c r="B624" s="126" t="s">
        <v>77</v>
      </c>
      <c r="C624" s="127">
        <v>2</v>
      </c>
      <c r="D624" s="127" t="s">
        <v>93</v>
      </c>
      <c r="E624" s="127">
        <v>0</v>
      </c>
      <c r="F624" s="127">
        <v>2</v>
      </c>
      <c r="G624" s="130" t="s">
        <v>79</v>
      </c>
    </row>
    <row r="625" spans="2:7" x14ac:dyDescent="0.25">
      <c r="B625" s="126" t="s">
        <v>77</v>
      </c>
      <c r="C625" s="127">
        <v>2</v>
      </c>
      <c r="D625" s="127" t="s">
        <v>83</v>
      </c>
      <c r="E625" s="127">
        <v>3</v>
      </c>
      <c r="F625" s="127">
        <v>1</v>
      </c>
      <c r="G625" s="130" t="s">
        <v>173</v>
      </c>
    </row>
    <row r="626" spans="2:7" x14ac:dyDescent="0.25">
      <c r="B626" s="126" t="s">
        <v>77</v>
      </c>
      <c r="C626" s="127">
        <v>2</v>
      </c>
      <c r="D626" s="127" t="s">
        <v>85</v>
      </c>
      <c r="E626" s="127">
        <v>0</v>
      </c>
      <c r="F626" s="127">
        <v>0</v>
      </c>
      <c r="G626" s="130" t="s">
        <v>161</v>
      </c>
    </row>
    <row r="627" spans="2:7" x14ac:dyDescent="0.25">
      <c r="B627" s="126" t="s">
        <v>77</v>
      </c>
      <c r="C627" s="127">
        <v>2</v>
      </c>
      <c r="D627" s="127" t="s">
        <v>140</v>
      </c>
      <c r="E627" s="127">
        <v>0</v>
      </c>
      <c r="F627" s="127">
        <v>2</v>
      </c>
      <c r="G627" s="130" t="s">
        <v>88</v>
      </c>
    </row>
    <row r="628" spans="2:7" x14ac:dyDescent="0.25">
      <c r="B628" s="126" t="s">
        <v>77</v>
      </c>
      <c r="C628" s="127">
        <v>2</v>
      </c>
      <c r="D628" s="127" t="s">
        <v>139</v>
      </c>
      <c r="E628" s="127">
        <v>1</v>
      </c>
      <c r="F628" s="127">
        <v>0</v>
      </c>
      <c r="G628" s="130" t="s">
        <v>84</v>
      </c>
    </row>
    <row r="629" spans="2:7" x14ac:dyDescent="0.25">
      <c r="B629" s="126" t="s">
        <v>77</v>
      </c>
      <c r="C629" s="127">
        <v>2</v>
      </c>
      <c r="D629" s="127" t="s">
        <v>91</v>
      </c>
      <c r="E629" s="127">
        <v>3</v>
      </c>
      <c r="F629" s="127">
        <v>1</v>
      </c>
      <c r="G629" s="130" t="s">
        <v>82</v>
      </c>
    </row>
    <row r="630" spans="2:7" x14ac:dyDescent="0.25">
      <c r="B630" s="126" t="s">
        <v>77</v>
      </c>
      <c r="C630" s="127">
        <v>2</v>
      </c>
      <c r="D630" s="127" t="s">
        <v>81</v>
      </c>
      <c r="E630" s="127">
        <v>1</v>
      </c>
      <c r="F630" s="127">
        <v>0</v>
      </c>
      <c r="G630" s="130" t="s">
        <v>80</v>
      </c>
    </row>
    <row r="631" spans="2:7" x14ac:dyDescent="0.25">
      <c r="B631" s="126" t="s">
        <v>77</v>
      </c>
      <c r="C631" s="127">
        <v>2</v>
      </c>
      <c r="D631" s="127" t="s">
        <v>87</v>
      </c>
      <c r="E631" s="127">
        <v>1</v>
      </c>
      <c r="F631" s="127">
        <v>2</v>
      </c>
      <c r="G631" s="130" t="s">
        <v>92</v>
      </c>
    </row>
    <row r="632" spans="2:7" x14ac:dyDescent="0.25">
      <c r="B632" s="126" t="s">
        <v>77</v>
      </c>
      <c r="C632" s="127">
        <v>2</v>
      </c>
      <c r="D632" s="127" t="s">
        <v>90</v>
      </c>
      <c r="E632" s="127">
        <v>4</v>
      </c>
      <c r="F632" s="127">
        <v>4</v>
      </c>
      <c r="G632" s="130" t="s">
        <v>86</v>
      </c>
    </row>
    <row r="633" spans="2:7" x14ac:dyDescent="0.25">
      <c r="B633" s="126" t="s">
        <v>77</v>
      </c>
      <c r="C633" s="127">
        <v>3</v>
      </c>
      <c r="D633" s="127" t="s">
        <v>161</v>
      </c>
      <c r="E633" s="127">
        <v>3</v>
      </c>
      <c r="F633" s="127">
        <v>0</v>
      </c>
      <c r="G633" s="130" t="s">
        <v>91</v>
      </c>
    </row>
    <row r="634" spans="2:7" x14ac:dyDescent="0.25">
      <c r="B634" s="126" t="s">
        <v>77</v>
      </c>
      <c r="C634" s="127">
        <v>3</v>
      </c>
      <c r="D634" s="127" t="s">
        <v>79</v>
      </c>
      <c r="E634" s="127">
        <v>3</v>
      </c>
      <c r="F634" s="127">
        <v>1</v>
      </c>
      <c r="G634" s="130" t="s">
        <v>140</v>
      </c>
    </row>
    <row r="635" spans="2:7" x14ac:dyDescent="0.25">
      <c r="B635" s="126" t="s">
        <v>77</v>
      </c>
      <c r="C635" s="127">
        <v>3</v>
      </c>
      <c r="D635" s="127" t="s">
        <v>80</v>
      </c>
      <c r="E635" s="127">
        <v>6</v>
      </c>
      <c r="F635" s="127">
        <v>0</v>
      </c>
      <c r="G635" s="130" t="s">
        <v>139</v>
      </c>
    </row>
    <row r="636" spans="2:7" x14ac:dyDescent="0.25">
      <c r="B636" s="126" t="s">
        <v>77</v>
      </c>
      <c r="C636" s="127">
        <v>3</v>
      </c>
      <c r="D636" s="127" t="s">
        <v>173</v>
      </c>
      <c r="E636" s="127">
        <v>0</v>
      </c>
      <c r="F636" s="127">
        <v>4</v>
      </c>
      <c r="G636" s="130" t="s">
        <v>81</v>
      </c>
    </row>
    <row r="637" spans="2:7" x14ac:dyDescent="0.25">
      <c r="B637" s="126" t="s">
        <v>77</v>
      </c>
      <c r="C637" s="127">
        <v>3</v>
      </c>
      <c r="D637" s="127" t="s">
        <v>86</v>
      </c>
      <c r="E637" s="127">
        <v>0</v>
      </c>
      <c r="F637" s="127">
        <v>0</v>
      </c>
      <c r="G637" s="130" t="s">
        <v>85</v>
      </c>
    </row>
    <row r="638" spans="2:7" x14ac:dyDescent="0.25">
      <c r="B638" s="126" t="s">
        <v>77</v>
      </c>
      <c r="C638" s="127">
        <v>3</v>
      </c>
      <c r="D638" s="127" t="s">
        <v>84</v>
      </c>
      <c r="E638" s="127">
        <v>2</v>
      </c>
      <c r="F638" s="127">
        <v>1</v>
      </c>
      <c r="G638" s="130" t="s">
        <v>83</v>
      </c>
    </row>
    <row r="639" spans="2:7" x14ac:dyDescent="0.25">
      <c r="B639" s="126" t="s">
        <v>77</v>
      </c>
      <c r="C639" s="127">
        <v>3</v>
      </c>
      <c r="D639" s="127" t="s">
        <v>82</v>
      </c>
      <c r="E639" s="127">
        <v>4</v>
      </c>
      <c r="F639" s="127">
        <v>1</v>
      </c>
      <c r="G639" s="130" t="s">
        <v>87</v>
      </c>
    </row>
    <row r="640" spans="2:7" x14ac:dyDescent="0.25">
      <c r="B640" s="126" t="s">
        <v>77</v>
      </c>
      <c r="C640" s="127">
        <v>3</v>
      </c>
      <c r="D640" s="127" t="s">
        <v>92</v>
      </c>
      <c r="E640" s="127">
        <v>1</v>
      </c>
      <c r="F640" s="127">
        <v>3</v>
      </c>
      <c r="G640" s="130" t="s">
        <v>90</v>
      </c>
    </row>
    <row r="641" spans="2:7" x14ac:dyDescent="0.25">
      <c r="B641" s="126" t="s">
        <v>77</v>
      </c>
      <c r="C641" s="127">
        <v>3</v>
      </c>
      <c r="D641" s="127" t="s">
        <v>88</v>
      </c>
      <c r="E641" s="127">
        <v>2</v>
      </c>
      <c r="F641" s="127">
        <v>0</v>
      </c>
      <c r="G641" s="130" t="s">
        <v>93</v>
      </c>
    </row>
    <row r="642" spans="2:7" x14ac:dyDescent="0.25">
      <c r="B642" s="126" t="s">
        <v>77</v>
      </c>
      <c r="C642" s="127">
        <v>4</v>
      </c>
      <c r="D642" s="127" t="s">
        <v>85</v>
      </c>
      <c r="E642" s="127">
        <v>1</v>
      </c>
      <c r="F642" s="127">
        <v>5</v>
      </c>
      <c r="G642" s="130" t="s">
        <v>80</v>
      </c>
    </row>
    <row r="643" spans="2:7" x14ac:dyDescent="0.25">
      <c r="B643" s="126" t="s">
        <v>77</v>
      </c>
      <c r="C643" s="127">
        <v>4</v>
      </c>
      <c r="D643" s="127" t="s">
        <v>140</v>
      </c>
      <c r="E643" s="127">
        <v>0</v>
      </c>
      <c r="F643" s="127">
        <v>2</v>
      </c>
      <c r="G643" s="130" t="s">
        <v>84</v>
      </c>
    </row>
    <row r="644" spans="2:7" x14ac:dyDescent="0.25">
      <c r="B644" s="126" t="s">
        <v>77</v>
      </c>
      <c r="C644" s="127">
        <v>4</v>
      </c>
      <c r="D644" s="127" t="s">
        <v>139</v>
      </c>
      <c r="E644" s="127">
        <v>1</v>
      </c>
      <c r="F644" s="127">
        <v>1</v>
      </c>
      <c r="G644" s="130" t="s">
        <v>86</v>
      </c>
    </row>
    <row r="645" spans="2:7" x14ac:dyDescent="0.25">
      <c r="B645" s="126" t="s">
        <v>77</v>
      </c>
      <c r="C645" s="127">
        <v>4</v>
      </c>
      <c r="D645" s="127" t="s">
        <v>91</v>
      </c>
      <c r="E645" s="127">
        <v>1</v>
      </c>
      <c r="F645" s="127">
        <v>0</v>
      </c>
      <c r="G645" s="130" t="s">
        <v>173</v>
      </c>
    </row>
    <row r="646" spans="2:7" x14ac:dyDescent="0.25">
      <c r="B646" s="126" t="s">
        <v>77</v>
      </c>
      <c r="C646" s="127">
        <v>4</v>
      </c>
      <c r="D646" s="127" t="s">
        <v>79</v>
      </c>
      <c r="E646" s="127">
        <v>3</v>
      </c>
      <c r="F646" s="127">
        <v>0</v>
      </c>
      <c r="G646" s="130" t="s">
        <v>88</v>
      </c>
    </row>
    <row r="647" spans="2:7" x14ac:dyDescent="0.25">
      <c r="B647" s="126" t="s">
        <v>77</v>
      </c>
      <c r="C647" s="127">
        <v>4</v>
      </c>
      <c r="D647" s="127" t="s">
        <v>83</v>
      </c>
      <c r="E647" s="127">
        <v>0</v>
      </c>
      <c r="F647" s="127">
        <v>0</v>
      </c>
      <c r="G647" s="130" t="s">
        <v>92</v>
      </c>
    </row>
    <row r="648" spans="2:7" x14ac:dyDescent="0.25">
      <c r="B648" s="126" t="s">
        <v>77</v>
      </c>
      <c r="C648" s="127">
        <v>4</v>
      </c>
      <c r="D648" s="127" t="s">
        <v>93</v>
      </c>
      <c r="E648" s="127">
        <v>1</v>
      </c>
      <c r="F648" s="127">
        <v>3</v>
      </c>
      <c r="G648" s="130" t="s">
        <v>161</v>
      </c>
    </row>
    <row r="649" spans="2:7" x14ac:dyDescent="0.25">
      <c r="B649" s="126" t="s">
        <v>77</v>
      </c>
      <c r="C649" s="127">
        <v>4</v>
      </c>
      <c r="D649" s="127" t="s">
        <v>87</v>
      </c>
      <c r="E649" s="127">
        <v>1</v>
      </c>
      <c r="F649" s="127">
        <v>2</v>
      </c>
      <c r="G649" s="130" t="s">
        <v>90</v>
      </c>
    </row>
    <row r="650" spans="2:7" x14ac:dyDescent="0.25">
      <c r="B650" s="126" t="s">
        <v>77</v>
      </c>
      <c r="C650" s="127">
        <v>4</v>
      </c>
      <c r="D650" s="127" t="s">
        <v>81</v>
      </c>
      <c r="E650" s="127">
        <v>1</v>
      </c>
      <c r="F650" s="127">
        <v>1</v>
      </c>
      <c r="G650" s="130" t="s">
        <v>82</v>
      </c>
    </row>
    <row r="651" spans="2:7" x14ac:dyDescent="0.25">
      <c r="B651" s="126" t="s">
        <v>77</v>
      </c>
      <c r="C651" s="127">
        <v>5</v>
      </c>
      <c r="D651" s="127" t="s">
        <v>80</v>
      </c>
      <c r="E651" s="127">
        <v>3</v>
      </c>
      <c r="F651" s="127">
        <v>1</v>
      </c>
      <c r="G651" s="130" t="s">
        <v>91</v>
      </c>
    </row>
    <row r="652" spans="2:7" x14ac:dyDescent="0.25">
      <c r="B652" s="126" t="s">
        <v>77</v>
      </c>
      <c r="C652" s="127">
        <v>5</v>
      </c>
      <c r="D652" s="127" t="s">
        <v>82</v>
      </c>
      <c r="E652" s="127">
        <v>2</v>
      </c>
      <c r="F652" s="127">
        <v>0</v>
      </c>
      <c r="G652" s="130" t="s">
        <v>140</v>
      </c>
    </row>
    <row r="653" spans="2:7" x14ac:dyDescent="0.25">
      <c r="B653" s="126" t="s">
        <v>77</v>
      </c>
      <c r="C653" s="127">
        <v>5</v>
      </c>
      <c r="D653" s="127" t="s">
        <v>90</v>
      </c>
      <c r="E653" s="127">
        <v>2</v>
      </c>
      <c r="F653" s="127">
        <v>3</v>
      </c>
      <c r="G653" s="130" t="s">
        <v>83</v>
      </c>
    </row>
    <row r="654" spans="2:7" x14ac:dyDescent="0.25">
      <c r="B654" s="126" t="s">
        <v>77</v>
      </c>
      <c r="C654" s="127">
        <v>5</v>
      </c>
      <c r="D654" s="127" t="s">
        <v>173</v>
      </c>
      <c r="E654" s="127">
        <v>0</v>
      </c>
      <c r="F654" s="127">
        <v>1</v>
      </c>
      <c r="G654" s="130" t="s">
        <v>79</v>
      </c>
    </row>
    <row r="655" spans="2:7" x14ac:dyDescent="0.25">
      <c r="B655" s="126" t="s">
        <v>77</v>
      </c>
      <c r="C655" s="127">
        <v>5</v>
      </c>
      <c r="D655" s="127" t="s">
        <v>92</v>
      </c>
      <c r="E655" s="127">
        <v>1</v>
      </c>
      <c r="F655" s="127">
        <v>0</v>
      </c>
      <c r="G655" s="130" t="s">
        <v>139</v>
      </c>
    </row>
    <row r="656" spans="2:7" x14ac:dyDescent="0.25">
      <c r="B656" s="126" t="s">
        <v>77</v>
      </c>
      <c r="C656" s="127">
        <v>5</v>
      </c>
      <c r="D656" s="127" t="s">
        <v>84</v>
      </c>
      <c r="E656" s="127">
        <v>3</v>
      </c>
      <c r="F656" s="127">
        <v>3</v>
      </c>
      <c r="G656" s="130" t="s">
        <v>88</v>
      </c>
    </row>
    <row r="657" spans="2:7" x14ac:dyDescent="0.25">
      <c r="B657" s="126" t="s">
        <v>77</v>
      </c>
      <c r="C657" s="127">
        <v>5</v>
      </c>
      <c r="D657" s="127" t="s">
        <v>87</v>
      </c>
      <c r="E657" s="127">
        <v>2</v>
      </c>
      <c r="F657" s="127">
        <v>1</v>
      </c>
      <c r="G657" s="130" t="s">
        <v>85</v>
      </c>
    </row>
    <row r="658" spans="2:7" x14ac:dyDescent="0.25">
      <c r="B658" s="126" t="s">
        <v>77</v>
      </c>
      <c r="C658" s="127">
        <v>5</v>
      </c>
      <c r="D658" s="127" t="s">
        <v>86</v>
      </c>
      <c r="E658" s="127">
        <v>2</v>
      </c>
      <c r="F658" s="127">
        <v>1</v>
      </c>
      <c r="G658" s="130" t="s">
        <v>93</v>
      </c>
    </row>
    <row r="659" spans="2:7" x14ac:dyDescent="0.25">
      <c r="B659" s="126" t="s">
        <v>77</v>
      </c>
      <c r="C659" s="127">
        <v>5</v>
      </c>
      <c r="D659" s="127" t="s">
        <v>161</v>
      </c>
      <c r="E659" s="127">
        <v>1</v>
      </c>
      <c r="F659" s="127">
        <v>1</v>
      </c>
      <c r="G659" s="130" t="s">
        <v>81</v>
      </c>
    </row>
    <row r="660" spans="2:7" x14ac:dyDescent="0.25">
      <c r="B660" s="126" t="s">
        <v>77</v>
      </c>
      <c r="C660" s="127">
        <v>6</v>
      </c>
      <c r="D660" s="127" t="s">
        <v>81</v>
      </c>
      <c r="E660" s="127">
        <v>2</v>
      </c>
      <c r="F660" s="127">
        <v>1</v>
      </c>
      <c r="G660" s="130" t="s">
        <v>92</v>
      </c>
    </row>
    <row r="661" spans="2:7" x14ac:dyDescent="0.25">
      <c r="B661" s="126" t="s">
        <v>77</v>
      </c>
      <c r="C661" s="127">
        <v>6</v>
      </c>
      <c r="D661" s="127" t="s">
        <v>79</v>
      </c>
      <c r="E661" s="127">
        <v>1</v>
      </c>
      <c r="F661" s="127">
        <v>1</v>
      </c>
      <c r="G661" s="130" t="s">
        <v>161</v>
      </c>
    </row>
    <row r="662" spans="2:7" x14ac:dyDescent="0.25">
      <c r="B662" s="126" t="s">
        <v>77</v>
      </c>
      <c r="C662" s="127">
        <v>6</v>
      </c>
      <c r="D662" s="127" t="s">
        <v>88</v>
      </c>
      <c r="E662" s="127">
        <v>2</v>
      </c>
      <c r="F662" s="127">
        <v>0</v>
      </c>
      <c r="G662" s="130" t="s">
        <v>173</v>
      </c>
    </row>
    <row r="663" spans="2:7" x14ac:dyDescent="0.25">
      <c r="B663" s="126" t="s">
        <v>77</v>
      </c>
      <c r="C663" s="127">
        <v>6</v>
      </c>
      <c r="D663" s="127" t="s">
        <v>140</v>
      </c>
      <c r="E663" s="127">
        <v>1</v>
      </c>
      <c r="F663" s="127">
        <v>2</v>
      </c>
      <c r="G663" s="130" t="s">
        <v>86</v>
      </c>
    </row>
    <row r="664" spans="2:7" x14ac:dyDescent="0.25">
      <c r="B664" s="126" t="s">
        <v>77</v>
      </c>
      <c r="C664" s="127">
        <v>6</v>
      </c>
      <c r="D664" s="127" t="s">
        <v>139</v>
      </c>
      <c r="E664" s="127">
        <v>2</v>
      </c>
      <c r="F664" s="127">
        <v>2</v>
      </c>
      <c r="G664" s="130" t="s">
        <v>87</v>
      </c>
    </row>
    <row r="665" spans="2:7" x14ac:dyDescent="0.25">
      <c r="B665" s="126" t="s">
        <v>77</v>
      </c>
      <c r="C665" s="127">
        <v>6</v>
      </c>
      <c r="D665" s="127" t="s">
        <v>91</v>
      </c>
      <c r="E665" s="127">
        <v>1</v>
      </c>
      <c r="F665" s="127">
        <v>0</v>
      </c>
      <c r="G665" s="130" t="s">
        <v>84</v>
      </c>
    </row>
    <row r="666" spans="2:7" x14ac:dyDescent="0.25">
      <c r="B666" s="126" t="s">
        <v>77</v>
      </c>
      <c r="C666" s="127">
        <v>6</v>
      </c>
      <c r="D666" s="127" t="s">
        <v>83</v>
      </c>
      <c r="E666" s="127">
        <v>2</v>
      </c>
      <c r="F666" s="127">
        <v>0</v>
      </c>
      <c r="G666" s="130" t="s">
        <v>80</v>
      </c>
    </row>
    <row r="667" spans="2:7" x14ac:dyDescent="0.25">
      <c r="B667" s="126" t="s">
        <v>77</v>
      </c>
      <c r="C667" s="127">
        <v>6</v>
      </c>
      <c r="D667" s="127" t="s">
        <v>85</v>
      </c>
      <c r="E667" s="127">
        <v>0</v>
      </c>
      <c r="F667" s="127">
        <v>0</v>
      </c>
      <c r="G667" s="130" t="s">
        <v>90</v>
      </c>
    </row>
    <row r="668" spans="2:7" x14ac:dyDescent="0.25">
      <c r="B668" s="126" t="s">
        <v>77</v>
      </c>
      <c r="C668" s="127">
        <v>6</v>
      </c>
      <c r="D668" s="127" t="s">
        <v>93</v>
      </c>
      <c r="E668" s="127">
        <v>4</v>
      </c>
      <c r="F668" s="127">
        <v>0</v>
      </c>
      <c r="G668" s="130" t="s">
        <v>82</v>
      </c>
    </row>
    <row r="669" spans="2:7" x14ac:dyDescent="0.25">
      <c r="B669" s="126" t="s">
        <v>77</v>
      </c>
      <c r="C669" s="127">
        <v>7</v>
      </c>
      <c r="D669" s="127" t="s">
        <v>80</v>
      </c>
      <c r="E669" s="127">
        <v>1</v>
      </c>
      <c r="F669" s="127">
        <v>1</v>
      </c>
      <c r="G669" s="130" t="s">
        <v>88</v>
      </c>
    </row>
    <row r="670" spans="2:7" x14ac:dyDescent="0.25">
      <c r="B670" s="126" t="s">
        <v>77</v>
      </c>
      <c r="C670" s="127">
        <v>7</v>
      </c>
      <c r="D670" s="127" t="s">
        <v>82</v>
      </c>
      <c r="E670" s="127">
        <v>0</v>
      </c>
      <c r="F670" s="127">
        <v>0</v>
      </c>
      <c r="G670" s="130" t="s">
        <v>173</v>
      </c>
    </row>
    <row r="671" spans="2:7" x14ac:dyDescent="0.25">
      <c r="B671" s="126" t="s">
        <v>77</v>
      </c>
      <c r="C671" s="127">
        <v>7</v>
      </c>
      <c r="D671" s="127" t="s">
        <v>161</v>
      </c>
      <c r="E671" s="127">
        <v>2</v>
      </c>
      <c r="F671" s="127">
        <v>1</v>
      </c>
      <c r="G671" s="130" t="s">
        <v>140</v>
      </c>
    </row>
    <row r="672" spans="2:7" x14ac:dyDescent="0.25">
      <c r="B672" s="126" t="s">
        <v>77</v>
      </c>
      <c r="C672" s="127">
        <v>7</v>
      </c>
      <c r="D672" s="127" t="s">
        <v>92</v>
      </c>
      <c r="E672" s="127">
        <v>1</v>
      </c>
      <c r="F672" s="127">
        <v>1</v>
      </c>
      <c r="G672" s="130" t="s">
        <v>93</v>
      </c>
    </row>
    <row r="673" spans="2:7" x14ac:dyDescent="0.25">
      <c r="B673" s="126" t="s">
        <v>77</v>
      </c>
      <c r="C673" s="127">
        <v>7</v>
      </c>
      <c r="D673" s="127" t="s">
        <v>86</v>
      </c>
      <c r="E673" s="127">
        <v>2</v>
      </c>
      <c r="F673" s="127">
        <v>1</v>
      </c>
      <c r="G673" s="130" t="s">
        <v>91</v>
      </c>
    </row>
    <row r="674" spans="2:7" x14ac:dyDescent="0.25">
      <c r="B674" s="126" t="s">
        <v>77</v>
      </c>
      <c r="C674" s="127">
        <v>7</v>
      </c>
      <c r="D674" s="127" t="s">
        <v>84</v>
      </c>
      <c r="E674" s="127">
        <v>2</v>
      </c>
      <c r="F674" s="127">
        <v>2</v>
      </c>
      <c r="G674" s="130" t="s">
        <v>79</v>
      </c>
    </row>
    <row r="675" spans="2:7" x14ac:dyDescent="0.25">
      <c r="B675" s="126" t="s">
        <v>77</v>
      </c>
      <c r="C675" s="127">
        <v>7</v>
      </c>
      <c r="D675" s="127" t="s">
        <v>87</v>
      </c>
      <c r="E675" s="127">
        <v>2</v>
      </c>
      <c r="F675" s="127">
        <v>1</v>
      </c>
      <c r="G675" s="130" t="s">
        <v>83</v>
      </c>
    </row>
    <row r="676" spans="2:7" x14ac:dyDescent="0.25">
      <c r="B676" s="126" t="s">
        <v>77</v>
      </c>
      <c r="C676" s="127">
        <v>7</v>
      </c>
      <c r="D676" s="127" t="s">
        <v>90</v>
      </c>
      <c r="E676" s="127">
        <v>2</v>
      </c>
      <c r="F676" s="127">
        <v>1</v>
      </c>
      <c r="G676" s="130" t="s">
        <v>139</v>
      </c>
    </row>
    <row r="677" spans="2:7" x14ac:dyDescent="0.25">
      <c r="B677" s="126" t="s">
        <v>77</v>
      </c>
      <c r="C677" s="127">
        <v>7</v>
      </c>
      <c r="D677" s="127" t="s">
        <v>85</v>
      </c>
      <c r="E677" s="127">
        <v>0</v>
      </c>
      <c r="F677" s="127">
        <v>1</v>
      </c>
      <c r="G677" s="130" t="s">
        <v>81</v>
      </c>
    </row>
    <row r="678" spans="2:7" x14ac:dyDescent="0.25">
      <c r="B678" s="126" t="s">
        <v>77</v>
      </c>
      <c r="C678" s="127">
        <v>8</v>
      </c>
      <c r="D678" s="127" t="s">
        <v>173</v>
      </c>
      <c r="E678" s="127">
        <v>0</v>
      </c>
      <c r="F678" s="127">
        <v>3</v>
      </c>
      <c r="G678" s="130" t="s">
        <v>84</v>
      </c>
    </row>
    <row r="679" spans="2:7" x14ac:dyDescent="0.25">
      <c r="B679" s="126" t="s">
        <v>77</v>
      </c>
      <c r="C679" s="127">
        <v>8</v>
      </c>
      <c r="D679" s="127" t="s">
        <v>83</v>
      </c>
      <c r="E679" s="127">
        <v>0</v>
      </c>
      <c r="F679" s="127">
        <v>3</v>
      </c>
      <c r="G679" s="130" t="s">
        <v>86</v>
      </c>
    </row>
    <row r="680" spans="2:7" x14ac:dyDescent="0.25">
      <c r="B680" s="126" t="s">
        <v>77</v>
      </c>
      <c r="C680" s="127">
        <v>8</v>
      </c>
      <c r="D680" s="127" t="s">
        <v>88</v>
      </c>
      <c r="E680" s="127">
        <v>2</v>
      </c>
      <c r="F680" s="127">
        <v>1</v>
      </c>
      <c r="G680" s="130" t="s">
        <v>161</v>
      </c>
    </row>
    <row r="681" spans="2:7" x14ac:dyDescent="0.25">
      <c r="B681" s="126" t="s">
        <v>77</v>
      </c>
      <c r="C681" s="127">
        <v>8</v>
      </c>
      <c r="D681" s="127" t="s">
        <v>140</v>
      </c>
      <c r="E681" s="127">
        <v>3</v>
      </c>
      <c r="F681" s="127">
        <v>3</v>
      </c>
      <c r="G681" s="130" t="s">
        <v>80</v>
      </c>
    </row>
    <row r="682" spans="2:7" x14ac:dyDescent="0.25">
      <c r="B682" s="126" t="s">
        <v>77</v>
      </c>
      <c r="C682" s="127">
        <v>8</v>
      </c>
      <c r="D682" s="127" t="s">
        <v>139</v>
      </c>
      <c r="E682" s="127">
        <v>3</v>
      </c>
      <c r="F682" s="127">
        <v>1</v>
      </c>
      <c r="G682" s="130" t="s">
        <v>85</v>
      </c>
    </row>
    <row r="683" spans="2:7" x14ac:dyDescent="0.25">
      <c r="B683" s="126" t="s">
        <v>77</v>
      </c>
      <c r="C683" s="127">
        <v>8</v>
      </c>
      <c r="D683" s="127" t="s">
        <v>91</v>
      </c>
      <c r="E683" s="127">
        <v>2</v>
      </c>
      <c r="F683" s="127">
        <v>1</v>
      </c>
      <c r="G683" s="130" t="s">
        <v>92</v>
      </c>
    </row>
    <row r="684" spans="2:7" x14ac:dyDescent="0.25">
      <c r="B684" s="126" t="s">
        <v>77</v>
      </c>
      <c r="C684" s="127">
        <v>8</v>
      </c>
      <c r="D684" s="127" t="s">
        <v>79</v>
      </c>
      <c r="E684" s="127">
        <v>2</v>
      </c>
      <c r="F684" s="127">
        <v>0</v>
      </c>
      <c r="G684" s="130" t="s">
        <v>82</v>
      </c>
    </row>
    <row r="685" spans="2:7" x14ac:dyDescent="0.25">
      <c r="B685" s="126" t="s">
        <v>77</v>
      </c>
      <c r="C685" s="127">
        <v>8</v>
      </c>
      <c r="D685" s="127" t="s">
        <v>81</v>
      </c>
      <c r="E685" s="127">
        <v>3</v>
      </c>
      <c r="F685" s="127">
        <v>1</v>
      </c>
      <c r="G685" s="130" t="s">
        <v>87</v>
      </c>
    </row>
    <row r="686" spans="2:7" x14ac:dyDescent="0.25">
      <c r="B686" s="126" t="s">
        <v>77</v>
      </c>
      <c r="C686" s="127">
        <v>8</v>
      </c>
      <c r="D686" s="127" t="s">
        <v>93</v>
      </c>
      <c r="E686" s="127">
        <v>3</v>
      </c>
      <c r="F686" s="127">
        <v>0</v>
      </c>
      <c r="G686" s="130" t="s">
        <v>90</v>
      </c>
    </row>
    <row r="687" spans="2:7" x14ac:dyDescent="0.25">
      <c r="B687" s="126" t="s">
        <v>77</v>
      </c>
      <c r="C687" s="127">
        <v>9</v>
      </c>
      <c r="D687" s="127" t="s">
        <v>82</v>
      </c>
      <c r="E687" s="127">
        <v>0</v>
      </c>
      <c r="F687" s="127">
        <v>0</v>
      </c>
      <c r="G687" s="130" t="s">
        <v>84</v>
      </c>
    </row>
    <row r="688" spans="2:7" x14ac:dyDescent="0.25">
      <c r="B688" s="126" t="s">
        <v>77</v>
      </c>
      <c r="C688" s="127">
        <v>9</v>
      </c>
      <c r="D688" s="127" t="s">
        <v>90</v>
      </c>
      <c r="E688" s="127">
        <v>2</v>
      </c>
      <c r="F688" s="127">
        <v>0</v>
      </c>
      <c r="G688" s="130" t="s">
        <v>140</v>
      </c>
    </row>
    <row r="689" spans="2:7" x14ac:dyDescent="0.25">
      <c r="B689" s="126" t="s">
        <v>77</v>
      </c>
      <c r="C689" s="127">
        <v>9</v>
      </c>
      <c r="D689" s="127" t="s">
        <v>85</v>
      </c>
      <c r="E689" s="127">
        <v>1</v>
      </c>
      <c r="F689" s="127">
        <v>2</v>
      </c>
      <c r="G689" s="130" t="s">
        <v>83</v>
      </c>
    </row>
    <row r="690" spans="2:7" x14ac:dyDescent="0.25">
      <c r="B690" s="126" t="s">
        <v>77</v>
      </c>
      <c r="C690" s="127">
        <v>9</v>
      </c>
      <c r="D690" s="127" t="s">
        <v>92</v>
      </c>
      <c r="E690" s="127">
        <v>1</v>
      </c>
      <c r="F690" s="127">
        <v>3</v>
      </c>
      <c r="G690" s="130" t="s">
        <v>79</v>
      </c>
    </row>
    <row r="691" spans="2:7" x14ac:dyDescent="0.25">
      <c r="B691" s="126" t="s">
        <v>77</v>
      </c>
      <c r="C691" s="127">
        <v>9</v>
      </c>
      <c r="D691" s="127" t="s">
        <v>87</v>
      </c>
      <c r="E691" s="127">
        <v>1</v>
      </c>
      <c r="F691" s="127">
        <v>3</v>
      </c>
      <c r="G691" s="130" t="s">
        <v>91</v>
      </c>
    </row>
    <row r="692" spans="2:7" x14ac:dyDescent="0.25">
      <c r="B692" s="126" t="s">
        <v>77</v>
      </c>
      <c r="C692" s="127">
        <v>9</v>
      </c>
      <c r="D692" s="127" t="s">
        <v>139</v>
      </c>
      <c r="E692" s="127">
        <v>0</v>
      </c>
      <c r="F692" s="127">
        <v>2</v>
      </c>
      <c r="G692" s="130" t="s">
        <v>81</v>
      </c>
    </row>
    <row r="693" spans="2:7" x14ac:dyDescent="0.25">
      <c r="B693" s="126" t="s">
        <v>77</v>
      </c>
      <c r="C693" s="127">
        <v>9</v>
      </c>
      <c r="D693" s="127" t="s">
        <v>80</v>
      </c>
      <c r="E693" s="127">
        <v>0</v>
      </c>
      <c r="F693" s="127">
        <v>0</v>
      </c>
      <c r="G693" s="130" t="s">
        <v>93</v>
      </c>
    </row>
    <row r="694" spans="2:7" x14ac:dyDescent="0.25">
      <c r="B694" s="126" t="s">
        <v>77</v>
      </c>
      <c r="C694" s="127">
        <v>9</v>
      </c>
      <c r="D694" s="127" t="s">
        <v>86</v>
      </c>
      <c r="E694" s="127">
        <v>1</v>
      </c>
      <c r="F694" s="127">
        <v>0</v>
      </c>
      <c r="G694" s="130" t="s">
        <v>88</v>
      </c>
    </row>
    <row r="695" spans="2:7" x14ac:dyDescent="0.25">
      <c r="B695" s="126" t="s">
        <v>77</v>
      </c>
      <c r="C695" s="127">
        <v>9</v>
      </c>
      <c r="D695" s="127" t="s">
        <v>161</v>
      </c>
      <c r="E695" s="127">
        <v>3</v>
      </c>
      <c r="F695" s="127">
        <v>0</v>
      </c>
      <c r="G695" s="130" t="s">
        <v>173</v>
      </c>
    </row>
    <row r="696" spans="2:7" x14ac:dyDescent="0.25">
      <c r="B696" s="126" t="s">
        <v>77</v>
      </c>
      <c r="C696" s="127">
        <v>10</v>
      </c>
      <c r="D696" s="127" t="s">
        <v>88</v>
      </c>
      <c r="E696" s="127">
        <v>3</v>
      </c>
      <c r="F696" s="127">
        <v>0</v>
      </c>
      <c r="G696" s="130" t="s">
        <v>82</v>
      </c>
    </row>
    <row r="697" spans="2:7" x14ac:dyDescent="0.25">
      <c r="B697" s="126" t="s">
        <v>77</v>
      </c>
      <c r="C697" s="127">
        <v>10</v>
      </c>
      <c r="D697" s="127" t="s">
        <v>79</v>
      </c>
      <c r="E697" s="127">
        <v>1</v>
      </c>
      <c r="F697" s="127">
        <v>1</v>
      </c>
      <c r="G697" s="130" t="s">
        <v>86</v>
      </c>
    </row>
    <row r="698" spans="2:7" x14ac:dyDescent="0.25">
      <c r="B698" s="126" t="s">
        <v>77</v>
      </c>
      <c r="C698" s="127">
        <v>10</v>
      </c>
      <c r="D698" s="127" t="s">
        <v>83</v>
      </c>
      <c r="E698" s="127">
        <v>3</v>
      </c>
      <c r="F698" s="127">
        <v>2</v>
      </c>
      <c r="G698" s="130" t="s">
        <v>139</v>
      </c>
    </row>
    <row r="699" spans="2:7" x14ac:dyDescent="0.25">
      <c r="B699" s="126" t="s">
        <v>77</v>
      </c>
      <c r="C699" s="127">
        <v>10</v>
      </c>
      <c r="D699" s="127" t="s">
        <v>173</v>
      </c>
      <c r="E699" s="127">
        <v>2</v>
      </c>
      <c r="F699" s="127">
        <v>5</v>
      </c>
      <c r="G699" s="130" t="s">
        <v>80</v>
      </c>
    </row>
    <row r="700" spans="2:7" x14ac:dyDescent="0.25">
      <c r="B700" s="126" t="s">
        <v>77</v>
      </c>
      <c r="C700" s="127">
        <v>10</v>
      </c>
      <c r="D700" s="127" t="s">
        <v>140</v>
      </c>
      <c r="E700" s="127">
        <v>0</v>
      </c>
      <c r="F700" s="127">
        <v>2</v>
      </c>
      <c r="G700" s="130" t="s">
        <v>92</v>
      </c>
    </row>
    <row r="701" spans="2:7" x14ac:dyDescent="0.25">
      <c r="B701" s="126" t="s">
        <v>77</v>
      </c>
      <c r="C701" s="127">
        <v>10</v>
      </c>
      <c r="D701" s="127" t="s">
        <v>91</v>
      </c>
      <c r="E701" s="127">
        <v>0</v>
      </c>
      <c r="F701" s="127">
        <v>3</v>
      </c>
      <c r="G701" s="130" t="s">
        <v>85</v>
      </c>
    </row>
    <row r="702" spans="2:7" x14ac:dyDescent="0.25">
      <c r="B702" s="126" t="s">
        <v>77</v>
      </c>
      <c r="C702" s="127">
        <v>10</v>
      </c>
      <c r="D702" s="127" t="s">
        <v>84</v>
      </c>
      <c r="E702" s="127">
        <v>1</v>
      </c>
      <c r="F702" s="127">
        <v>0</v>
      </c>
      <c r="G702" s="130" t="s">
        <v>161</v>
      </c>
    </row>
    <row r="703" spans="2:7" x14ac:dyDescent="0.25">
      <c r="B703" s="126" t="s">
        <v>77</v>
      </c>
      <c r="C703" s="127">
        <v>10</v>
      </c>
      <c r="D703" s="127" t="s">
        <v>81</v>
      </c>
      <c r="E703" s="127">
        <v>3</v>
      </c>
      <c r="F703" s="127">
        <v>1</v>
      </c>
      <c r="G703" s="130" t="s">
        <v>90</v>
      </c>
    </row>
    <row r="704" spans="2:7" x14ac:dyDescent="0.25">
      <c r="B704" s="126" t="s">
        <v>77</v>
      </c>
      <c r="C704" s="127">
        <v>10</v>
      </c>
      <c r="D704" s="127" t="s">
        <v>93</v>
      </c>
      <c r="E704" s="127">
        <v>3</v>
      </c>
      <c r="F704" s="127">
        <v>1</v>
      </c>
      <c r="G704" s="130" t="s">
        <v>87</v>
      </c>
    </row>
    <row r="705" spans="2:7" x14ac:dyDescent="0.25">
      <c r="B705" s="126" t="s">
        <v>77</v>
      </c>
      <c r="C705" s="127">
        <v>11</v>
      </c>
      <c r="D705" s="127" t="s">
        <v>83</v>
      </c>
      <c r="E705" s="127">
        <v>2</v>
      </c>
      <c r="F705" s="127">
        <v>3</v>
      </c>
      <c r="G705" s="130" t="s">
        <v>81</v>
      </c>
    </row>
    <row r="706" spans="2:7" x14ac:dyDescent="0.25">
      <c r="B706" s="126" t="s">
        <v>77</v>
      </c>
      <c r="C706" s="127">
        <v>11</v>
      </c>
      <c r="D706" s="127" t="s">
        <v>82</v>
      </c>
      <c r="E706" s="127">
        <v>1</v>
      </c>
      <c r="F706" s="127">
        <v>2</v>
      </c>
      <c r="G706" s="130" t="s">
        <v>161</v>
      </c>
    </row>
    <row r="707" spans="2:7" x14ac:dyDescent="0.25">
      <c r="B707" s="126" t="s">
        <v>77</v>
      </c>
      <c r="C707" s="127">
        <v>11</v>
      </c>
      <c r="D707" s="127" t="s">
        <v>90</v>
      </c>
      <c r="E707" s="127">
        <v>4</v>
      </c>
      <c r="F707" s="127">
        <v>2</v>
      </c>
      <c r="G707" s="130" t="s">
        <v>91</v>
      </c>
    </row>
    <row r="708" spans="2:7" x14ac:dyDescent="0.25">
      <c r="B708" s="126" t="s">
        <v>77</v>
      </c>
      <c r="C708" s="127">
        <v>11</v>
      </c>
      <c r="D708" s="127" t="s">
        <v>85</v>
      </c>
      <c r="E708" s="127">
        <v>0</v>
      </c>
      <c r="F708" s="127">
        <v>1</v>
      </c>
      <c r="G708" s="130" t="s">
        <v>93</v>
      </c>
    </row>
    <row r="709" spans="2:7" x14ac:dyDescent="0.25">
      <c r="B709" s="126" t="s">
        <v>77</v>
      </c>
      <c r="C709" s="127">
        <v>11</v>
      </c>
      <c r="D709" s="127" t="s">
        <v>92</v>
      </c>
      <c r="E709" s="127">
        <v>0</v>
      </c>
      <c r="F709" s="127">
        <v>0</v>
      </c>
      <c r="G709" s="130" t="s">
        <v>88</v>
      </c>
    </row>
    <row r="710" spans="2:7" x14ac:dyDescent="0.25">
      <c r="B710" s="126" t="s">
        <v>77</v>
      </c>
      <c r="C710" s="127">
        <v>11</v>
      </c>
      <c r="D710" s="127" t="s">
        <v>139</v>
      </c>
      <c r="E710" s="127">
        <v>0</v>
      </c>
      <c r="F710" s="127">
        <v>1</v>
      </c>
      <c r="G710" s="130" t="s">
        <v>140</v>
      </c>
    </row>
    <row r="711" spans="2:7" x14ac:dyDescent="0.25">
      <c r="B711" s="126" t="s">
        <v>77</v>
      </c>
      <c r="C711" s="127">
        <v>11</v>
      </c>
      <c r="D711" s="127" t="s">
        <v>80</v>
      </c>
      <c r="E711" s="127">
        <v>1</v>
      </c>
      <c r="F711" s="127">
        <v>0</v>
      </c>
      <c r="G711" s="130" t="s">
        <v>79</v>
      </c>
    </row>
    <row r="712" spans="2:7" x14ac:dyDescent="0.25">
      <c r="B712" s="126" t="s">
        <v>77</v>
      </c>
      <c r="C712" s="127">
        <v>11</v>
      </c>
      <c r="D712" s="127" t="s">
        <v>86</v>
      </c>
      <c r="E712" s="127">
        <v>2</v>
      </c>
      <c r="F712" s="127">
        <v>2</v>
      </c>
      <c r="G712" s="130" t="s">
        <v>173</v>
      </c>
    </row>
    <row r="713" spans="2:7" x14ac:dyDescent="0.25">
      <c r="B713" s="126" t="s">
        <v>77</v>
      </c>
      <c r="C713" s="127">
        <v>11</v>
      </c>
      <c r="D713" s="127" t="s">
        <v>87</v>
      </c>
      <c r="E713" s="127">
        <v>1</v>
      </c>
      <c r="F713" s="127">
        <v>2</v>
      </c>
      <c r="G713" s="130" t="s">
        <v>84</v>
      </c>
    </row>
    <row r="714" spans="2:7" x14ac:dyDescent="0.25">
      <c r="B714" s="126" t="s">
        <v>77</v>
      </c>
      <c r="C714" s="127">
        <v>12</v>
      </c>
      <c r="D714" s="127" t="s">
        <v>91</v>
      </c>
      <c r="E714" s="127">
        <v>1</v>
      </c>
      <c r="F714" s="127">
        <v>4</v>
      </c>
      <c r="G714" s="130" t="s">
        <v>81</v>
      </c>
    </row>
    <row r="715" spans="2:7" x14ac:dyDescent="0.25">
      <c r="B715" s="126" t="s">
        <v>77</v>
      </c>
      <c r="C715" s="127">
        <v>12</v>
      </c>
      <c r="D715" s="127" t="s">
        <v>82</v>
      </c>
      <c r="E715" s="127">
        <v>1</v>
      </c>
      <c r="F715" s="127">
        <v>1</v>
      </c>
      <c r="G715" s="130" t="s">
        <v>86</v>
      </c>
    </row>
    <row r="716" spans="2:7" x14ac:dyDescent="0.25">
      <c r="B716" s="126" t="s">
        <v>77</v>
      </c>
      <c r="C716" s="127">
        <v>12</v>
      </c>
      <c r="D716" s="127" t="s">
        <v>161</v>
      </c>
      <c r="E716" s="127">
        <v>0</v>
      </c>
      <c r="F716" s="127">
        <v>0</v>
      </c>
      <c r="G716" s="130" t="s">
        <v>92</v>
      </c>
    </row>
    <row r="717" spans="2:7" x14ac:dyDescent="0.25">
      <c r="B717" s="126" t="s">
        <v>77</v>
      </c>
      <c r="C717" s="127">
        <v>12</v>
      </c>
      <c r="D717" s="127" t="s">
        <v>173</v>
      </c>
      <c r="E717" s="127">
        <v>2</v>
      </c>
      <c r="F717" s="127">
        <v>2</v>
      </c>
      <c r="G717" s="130" t="s">
        <v>87</v>
      </c>
    </row>
    <row r="718" spans="2:7" x14ac:dyDescent="0.25">
      <c r="B718" s="126" t="s">
        <v>77</v>
      </c>
      <c r="C718" s="127">
        <v>12</v>
      </c>
      <c r="D718" s="127" t="s">
        <v>140</v>
      </c>
      <c r="E718" s="127">
        <v>1</v>
      </c>
      <c r="F718" s="127">
        <v>1</v>
      </c>
      <c r="G718" s="130" t="s">
        <v>85</v>
      </c>
    </row>
    <row r="719" spans="2:7" x14ac:dyDescent="0.25">
      <c r="B719" s="126" t="s">
        <v>77</v>
      </c>
      <c r="C719" s="127">
        <v>12</v>
      </c>
      <c r="D719" s="127" t="s">
        <v>84</v>
      </c>
      <c r="E719" s="127">
        <v>2</v>
      </c>
      <c r="F719" s="127">
        <v>1</v>
      </c>
      <c r="G719" s="130" t="s">
        <v>80</v>
      </c>
    </row>
    <row r="720" spans="2:7" x14ac:dyDescent="0.25">
      <c r="B720" s="126" t="s">
        <v>77</v>
      </c>
      <c r="C720" s="127">
        <v>12</v>
      </c>
      <c r="D720" s="127" t="s">
        <v>79</v>
      </c>
      <c r="E720" s="127">
        <v>2</v>
      </c>
      <c r="F720" s="127">
        <v>1</v>
      </c>
      <c r="G720" s="130" t="s">
        <v>83</v>
      </c>
    </row>
    <row r="721" spans="2:7" x14ac:dyDescent="0.25">
      <c r="B721" s="126" t="s">
        <v>77</v>
      </c>
      <c r="C721" s="127">
        <v>12</v>
      </c>
      <c r="D721" s="127" t="s">
        <v>93</v>
      </c>
      <c r="E721" s="127">
        <v>3</v>
      </c>
      <c r="F721" s="127">
        <v>1</v>
      </c>
      <c r="G721" s="130" t="s">
        <v>139</v>
      </c>
    </row>
    <row r="722" spans="2:7" x14ac:dyDescent="0.25">
      <c r="B722" s="126" t="s">
        <v>77</v>
      </c>
      <c r="C722" s="127">
        <v>12</v>
      </c>
      <c r="D722" s="127" t="s">
        <v>88</v>
      </c>
      <c r="E722" s="127">
        <v>2</v>
      </c>
      <c r="F722" s="127">
        <v>1</v>
      </c>
      <c r="G722" s="130" t="s">
        <v>90</v>
      </c>
    </row>
    <row r="723" spans="2:7" x14ac:dyDescent="0.25">
      <c r="B723" s="126" t="s">
        <v>77</v>
      </c>
      <c r="C723" s="127">
        <v>13</v>
      </c>
      <c r="D723" s="127" t="s">
        <v>90</v>
      </c>
      <c r="E723" s="127">
        <v>1</v>
      </c>
      <c r="F723" s="127">
        <v>3</v>
      </c>
      <c r="G723" s="130" t="s">
        <v>79</v>
      </c>
    </row>
    <row r="724" spans="2:7" x14ac:dyDescent="0.25">
      <c r="B724" s="126" t="s">
        <v>77</v>
      </c>
      <c r="C724" s="127">
        <v>13</v>
      </c>
      <c r="D724" s="127" t="s">
        <v>80</v>
      </c>
      <c r="E724" s="127">
        <v>4</v>
      </c>
      <c r="F724" s="127">
        <v>1</v>
      </c>
      <c r="G724" s="130" t="s">
        <v>82</v>
      </c>
    </row>
    <row r="725" spans="2:7" x14ac:dyDescent="0.25">
      <c r="B725" s="126" t="s">
        <v>77</v>
      </c>
      <c r="C725" s="127">
        <v>13</v>
      </c>
      <c r="D725" s="127" t="s">
        <v>83</v>
      </c>
      <c r="E725" s="127">
        <v>1</v>
      </c>
      <c r="F725" s="127">
        <v>1</v>
      </c>
      <c r="G725" s="130" t="s">
        <v>91</v>
      </c>
    </row>
    <row r="726" spans="2:7" x14ac:dyDescent="0.25">
      <c r="B726" s="126" t="s">
        <v>77</v>
      </c>
      <c r="C726" s="127">
        <v>13</v>
      </c>
      <c r="D726" s="127" t="s">
        <v>85</v>
      </c>
      <c r="E726" s="127">
        <v>2</v>
      </c>
      <c r="F726" s="127">
        <v>3</v>
      </c>
      <c r="G726" s="130" t="s">
        <v>88</v>
      </c>
    </row>
    <row r="727" spans="2:7" x14ac:dyDescent="0.25">
      <c r="B727" s="126" t="s">
        <v>77</v>
      </c>
      <c r="C727" s="127">
        <v>13</v>
      </c>
      <c r="D727" s="127" t="s">
        <v>87</v>
      </c>
      <c r="E727" s="127">
        <v>2</v>
      </c>
      <c r="F727" s="127">
        <v>1</v>
      </c>
      <c r="G727" s="130" t="s">
        <v>140</v>
      </c>
    </row>
    <row r="728" spans="2:7" x14ac:dyDescent="0.25">
      <c r="B728" s="126" t="s">
        <v>77</v>
      </c>
      <c r="C728" s="127">
        <v>13</v>
      </c>
      <c r="D728" s="127" t="s">
        <v>86</v>
      </c>
      <c r="E728" s="127">
        <v>4</v>
      </c>
      <c r="F728" s="127">
        <v>0</v>
      </c>
      <c r="G728" s="130" t="s">
        <v>161</v>
      </c>
    </row>
    <row r="729" spans="2:7" x14ac:dyDescent="0.25">
      <c r="B729" s="126" t="s">
        <v>77</v>
      </c>
      <c r="C729" s="127">
        <v>13</v>
      </c>
      <c r="D729" s="127" t="s">
        <v>81</v>
      </c>
      <c r="E729" s="127">
        <v>2</v>
      </c>
      <c r="F729" s="127">
        <v>1</v>
      </c>
      <c r="G729" s="130" t="s">
        <v>93</v>
      </c>
    </row>
    <row r="730" spans="2:7" x14ac:dyDescent="0.25">
      <c r="B730" s="126" t="s">
        <v>77</v>
      </c>
      <c r="C730" s="127">
        <v>13</v>
      </c>
      <c r="D730" s="127" t="s">
        <v>139</v>
      </c>
      <c r="E730" s="127">
        <v>0</v>
      </c>
      <c r="F730" s="127">
        <v>2</v>
      </c>
      <c r="G730" s="130" t="s">
        <v>173</v>
      </c>
    </row>
    <row r="731" spans="2:7" x14ac:dyDescent="0.25">
      <c r="B731" s="126" t="s">
        <v>77</v>
      </c>
      <c r="C731" s="127">
        <v>13</v>
      </c>
      <c r="D731" s="127" t="s">
        <v>92</v>
      </c>
      <c r="E731" s="127">
        <v>1</v>
      </c>
      <c r="F731" s="127">
        <v>1</v>
      </c>
      <c r="G731" s="130" t="s">
        <v>84</v>
      </c>
    </row>
    <row r="732" spans="2:7" x14ac:dyDescent="0.25">
      <c r="B732" s="126" t="s">
        <v>77</v>
      </c>
      <c r="C732" s="127">
        <v>14</v>
      </c>
      <c r="D732" s="127" t="s">
        <v>84</v>
      </c>
      <c r="E732" s="127">
        <v>0</v>
      </c>
      <c r="F732" s="127">
        <v>0</v>
      </c>
      <c r="G732" s="130" t="s">
        <v>86</v>
      </c>
    </row>
    <row r="733" spans="2:7" x14ac:dyDescent="0.25">
      <c r="B733" s="126" t="s">
        <v>77</v>
      </c>
      <c r="C733" s="127">
        <v>14</v>
      </c>
      <c r="D733" s="127" t="s">
        <v>79</v>
      </c>
      <c r="E733" s="127">
        <v>5</v>
      </c>
      <c r="F733" s="127">
        <v>0</v>
      </c>
      <c r="G733" s="130" t="s">
        <v>85</v>
      </c>
    </row>
    <row r="734" spans="2:7" x14ac:dyDescent="0.25">
      <c r="B734" s="126" t="s">
        <v>77</v>
      </c>
      <c r="C734" s="127">
        <v>14</v>
      </c>
      <c r="D734" s="127" t="s">
        <v>161</v>
      </c>
      <c r="E734" s="127">
        <v>1</v>
      </c>
      <c r="F734" s="127">
        <v>1</v>
      </c>
      <c r="G734" s="130" t="s">
        <v>80</v>
      </c>
    </row>
    <row r="735" spans="2:7" x14ac:dyDescent="0.25">
      <c r="B735" s="126" t="s">
        <v>77</v>
      </c>
      <c r="C735" s="127">
        <v>14</v>
      </c>
      <c r="D735" s="127" t="s">
        <v>173</v>
      </c>
      <c r="E735" s="127">
        <v>1</v>
      </c>
      <c r="F735" s="127">
        <v>0</v>
      </c>
      <c r="G735" s="130" t="s">
        <v>92</v>
      </c>
    </row>
    <row r="736" spans="2:7" x14ac:dyDescent="0.25">
      <c r="B736" s="126" t="s">
        <v>77</v>
      </c>
      <c r="C736" s="127">
        <v>14</v>
      </c>
      <c r="D736" s="127" t="s">
        <v>140</v>
      </c>
      <c r="E736" s="127">
        <v>1</v>
      </c>
      <c r="F736" s="127">
        <v>0</v>
      </c>
      <c r="G736" s="130" t="s">
        <v>81</v>
      </c>
    </row>
    <row r="737" spans="2:7" x14ac:dyDescent="0.25">
      <c r="B737" s="126" t="s">
        <v>77</v>
      </c>
      <c r="C737" s="127">
        <v>14</v>
      </c>
      <c r="D737" s="127" t="s">
        <v>91</v>
      </c>
      <c r="E737" s="127">
        <v>1</v>
      </c>
      <c r="F737" s="127">
        <v>0</v>
      </c>
      <c r="G737" s="130" t="s">
        <v>139</v>
      </c>
    </row>
    <row r="738" spans="2:7" x14ac:dyDescent="0.25">
      <c r="B738" s="126" t="s">
        <v>77</v>
      </c>
      <c r="C738" s="127">
        <v>14</v>
      </c>
      <c r="D738" s="127" t="s">
        <v>88</v>
      </c>
      <c r="E738" s="127">
        <v>0</v>
      </c>
      <c r="F738" s="127">
        <v>1</v>
      </c>
      <c r="G738" s="130" t="s">
        <v>87</v>
      </c>
    </row>
    <row r="739" spans="2:7" x14ac:dyDescent="0.25">
      <c r="B739" s="126" t="s">
        <v>77</v>
      </c>
      <c r="C739" s="127">
        <v>14</v>
      </c>
      <c r="D739" s="127" t="s">
        <v>82</v>
      </c>
      <c r="E739" s="127">
        <v>1</v>
      </c>
      <c r="F739" s="127">
        <v>0</v>
      </c>
      <c r="G739" s="130" t="s">
        <v>90</v>
      </c>
    </row>
    <row r="740" spans="2:7" x14ac:dyDescent="0.25">
      <c r="B740" s="126" t="s">
        <v>77</v>
      </c>
      <c r="C740" s="127">
        <v>14</v>
      </c>
      <c r="D740" s="127" t="s">
        <v>93</v>
      </c>
      <c r="E740" s="127">
        <v>0</v>
      </c>
      <c r="F740" s="127">
        <v>1</v>
      </c>
      <c r="G740" s="130" t="s">
        <v>83</v>
      </c>
    </row>
    <row r="741" spans="2:7" x14ac:dyDescent="0.25">
      <c r="B741" s="126" t="s">
        <v>77</v>
      </c>
      <c r="C741" s="127">
        <v>15</v>
      </c>
      <c r="D741" s="127" t="s">
        <v>86</v>
      </c>
      <c r="E741" s="127">
        <v>2</v>
      </c>
      <c r="F741" s="127">
        <v>2</v>
      </c>
      <c r="G741" s="130" t="s">
        <v>80</v>
      </c>
    </row>
    <row r="742" spans="2:7" x14ac:dyDescent="0.25">
      <c r="B742" s="126" t="s">
        <v>77</v>
      </c>
      <c r="C742" s="127">
        <v>15</v>
      </c>
      <c r="D742" s="127" t="s">
        <v>93</v>
      </c>
      <c r="E742" s="127">
        <v>1</v>
      </c>
      <c r="F742" s="127">
        <v>1</v>
      </c>
      <c r="G742" s="130" t="s">
        <v>91</v>
      </c>
    </row>
    <row r="743" spans="2:7" x14ac:dyDescent="0.25">
      <c r="B743" s="126" t="s">
        <v>77</v>
      </c>
      <c r="C743" s="127">
        <v>15</v>
      </c>
      <c r="D743" s="127" t="s">
        <v>90</v>
      </c>
      <c r="E743" s="127">
        <v>3</v>
      </c>
      <c r="F743" s="127">
        <v>1</v>
      </c>
      <c r="G743" s="130" t="s">
        <v>173</v>
      </c>
    </row>
    <row r="744" spans="2:7" x14ac:dyDescent="0.25">
      <c r="B744" s="126" t="s">
        <v>77</v>
      </c>
      <c r="C744" s="127">
        <v>15</v>
      </c>
      <c r="D744" s="127" t="s">
        <v>92</v>
      </c>
      <c r="E744" s="127">
        <v>1</v>
      </c>
      <c r="F744" s="127">
        <v>0</v>
      </c>
      <c r="G744" s="130" t="s">
        <v>82</v>
      </c>
    </row>
    <row r="745" spans="2:7" x14ac:dyDescent="0.25">
      <c r="B745" s="126" t="s">
        <v>77</v>
      </c>
      <c r="C745" s="127">
        <v>15</v>
      </c>
      <c r="D745" s="127" t="s">
        <v>87</v>
      </c>
      <c r="E745" s="127">
        <v>1</v>
      </c>
      <c r="F745" s="127">
        <v>1</v>
      </c>
      <c r="G745" s="130" t="s">
        <v>161</v>
      </c>
    </row>
    <row r="746" spans="2:7" x14ac:dyDescent="0.25">
      <c r="B746" s="126" t="s">
        <v>77</v>
      </c>
      <c r="C746" s="127">
        <v>15</v>
      </c>
      <c r="D746" s="127" t="s">
        <v>81</v>
      </c>
      <c r="E746" s="127">
        <v>2</v>
      </c>
      <c r="F746" s="127">
        <v>0</v>
      </c>
      <c r="G746" s="130" t="s">
        <v>88</v>
      </c>
    </row>
    <row r="747" spans="2:7" x14ac:dyDescent="0.25">
      <c r="B747" s="126" t="s">
        <v>77</v>
      </c>
      <c r="C747" s="127">
        <v>15</v>
      </c>
      <c r="D747" s="127" t="s">
        <v>85</v>
      </c>
      <c r="E747" s="127">
        <v>1</v>
      </c>
      <c r="F747" s="127">
        <v>0</v>
      </c>
      <c r="G747" s="130" t="s">
        <v>84</v>
      </c>
    </row>
    <row r="748" spans="2:7" x14ac:dyDescent="0.25">
      <c r="B748" s="126" t="s">
        <v>77</v>
      </c>
      <c r="C748" s="127">
        <v>15</v>
      </c>
      <c r="D748" s="127" t="s">
        <v>139</v>
      </c>
      <c r="E748" s="127">
        <v>0</v>
      </c>
      <c r="F748" s="127">
        <v>1</v>
      </c>
      <c r="G748" s="130" t="s">
        <v>79</v>
      </c>
    </row>
    <row r="749" spans="2:7" x14ac:dyDescent="0.25">
      <c r="B749" s="126" t="s">
        <v>77</v>
      </c>
      <c r="C749" s="127">
        <v>15</v>
      </c>
      <c r="D749" s="127" t="s">
        <v>83</v>
      </c>
      <c r="E749" s="127">
        <v>1</v>
      </c>
      <c r="F749" s="127">
        <v>2</v>
      </c>
      <c r="G749" s="130" t="s">
        <v>140</v>
      </c>
    </row>
    <row r="750" spans="2:7" x14ac:dyDescent="0.25">
      <c r="B750" s="126" t="s">
        <v>77</v>
      </c>
      <c r="C750" s="127">
        <v>16</v>
      </c>
      <c r="D750" s="127" t="s">
        <v>80</v>
      </c>
      <c r="E750" s="127">
        <v>1</v>
      </c>
      <c r="F750" s="127">
        <v>1</v>
      </c>
      <c r="G750" s="130" t="s">
        <v>92</v>
      </c>
    </row>
    <row r="751" spans="2:7" x14ac:dyDescent="0.25">
      <c r="B751" s="126" t="s">
        <v>77</v>
      </c>
      <c r="C751" s="127">
        <v>16</v>
      </c>
      <c r="D751" s="127" t="s">
        <v>82</v>
      </c>
      <c r="E751" s="127">
        <v>1</v>
      </c>
      <c r="F751" s="127">
        <v>2</v>
      </c>
      <c r="G751" s="130" t="s">
        <v>85</v>
      </c>
    </row>
    <row r="752" spans="2:7" x14ac:dyDescent="0.25">
      <c r="B752" s="126" t="s">
        <v>77</v>
      </c>
      <c r="C752" s="127">
        <v>16</v>
      </c>
      <c r="D752" s="127" t="s">
        <v>173</v>
      </c>
      <c r="E752" s="127">
        <v>2</v>
      </c>
      <c r="F752" s="127">
        <v>1</v>
      </c>
      <c r="G752" s="130" t="s">
        <v>93</v>
      </c>
    </row>
    <row r="753" spans="2:7" x14ac:dyDescent="0.25">
      <c r="B753" s="126" t="s">
        <v>77</v>
      </c>
      <c r="C753" s="127">
        <v>16</v>
      </c>
      <c r="D753" s="127" t="s">
        <v>84</v>
      </c>
      <c r="E753" s="127">
        <v>3</v>
      </c>
      <c r="F753" s="127">
        <v>0</v>
      </c>
      <c r="G753" s="130" t="s">
        <v>90</v>
      </c>
    </row>
    <row r="754" spans="2:7" x14ac:dyDescent="0.25">
      <c r="B754" s="126" t="s">
        <v>77</v>
      </c>
      <c r="C754" s="127">
        <v>16</v>
      </c>
      <c r="D754" s="127" t="s">
        <v>79</v>
      </c>
      <c r="E754" s="127">
        <v>3</v>
      </c>
      <c r="F754" s="127">
        <v>0</v>
      </c>
      <c r="G754" s="130" t="s">
        <v>81</v>
      </c>
    </row>
    <row r="755" spans="2:7" x14ac:dyDescent="0.25">
      <c r="B755" s="126" t="s">
        <v>77</v>
      </c>
      <c r="C755" s="127">
        <v>16</v>
      </c>
      <c r="D755" s="127" t="s">
        <v>88</v>
      </c>
      <c r="E755" s="127">
        <v>2</v>
      </c>
      <c r="F755" s="127">
        <v>0</v>
      </c>
      <c r="G755" s="130" t="s">
        <v>139</v>
      </c>
    </row>
    <row r="756" spans="2:7" x14ac:dyDescent="0.25">
      <c r="B756" s="126" t="s">
        <v>77</v>
      </c>
      <c r="C756" s="127">
        <v>16</v>
      </c>
      <c r="D756" s="127" t="s">
        <v>161</v>
      </c>
      <c r="E756" s="127">
        <v>1</v>
      </c>
      <c r="F756" s="127">
        <v>1</v>
      </c>
      <c r="G756" s="130" t="s">
        <v>83</v>
      </c>
    </row>
    <row r="757" spans="2:7" x14ac:dyDescent="0.25">
      <c r="B757" s="126" t="s">
        <v>77</v>
      </c>
      <c r="C757" s="127">
        <v>16</v>
      </c>
      <c r="D757" s="127" t="s">
        <v>140</v>
      </c>
      <c r="E757" s="127">
        <v>1</v>
      </c>
      <c r="F757" s="127">
        <v>2</v>
      </c>
      <c r="G757" s="130" t="s">
        <v>91</v>
      </c>
    </row>
    <row r="758" spans="2:7" x14ac:dyDescent="0.25">
      <c r="B758" s="126" t="s">
        <v>77</v>
      </c>
      <c r="C758" s="127">
        <v>16</v>
      </c>
      <c r="D758" s="127" t="s">
        <v>86</v>
      </c>
      <c r="E758" s="127">
        <v>1</v>
      </c>
      <c r="F758" s="127">
        <v>1</v>
      </c>
      <c r="G758" s="130" t="s">
        <v>87</v>
      </c>
    </row>
    <row r="759" spans="2:7" x14ac:dyDescent="0.25">
      <c r="B759" s="126" t="s">
        <v>77</v>
      </c>
      <c r="C759" s="127">
        <v>17</v>
      </c>
      <c r="D759" s="127" t="s">
        <v>91</v>
      </c>
      <c r="E759" s="127">
        <v>1</v>
      </c>
      <c r="F759" s="127">
        <v>2</v>
      </c>
      <c r="G759" s="130" t="s">
        <v>79</v>
      </c>
    </row>
    <row r="760" spans="2:7" x14ac:dyDescent="0.25">
      <c r="B760" s="126" t="s">
        <v>77</v>
      </c>
      <c r="C760" s="127">
        <v>17</v>
      </c>
      <c r="D760" s="127" t="s">
        <v>93</v>
      </c>
      <c r="E760" s="127">
        <v>1</v>
      </c>
      <c r="F760" s="127">
        <v>0</v>
      </c>
      <c r="G760" s="130" t="s">
        <v>140</v>
      </c>
    </row>
    <row r="761" spans="2:7" x14ac:dyDescent="0.25">
      <c r="B761" s="126" t="s">
        <v>77</v>
      </c>
      <c r="C761" s="127">
        <v>17</v>
      </c>
      <c r="D761" s="127" t="s">
        <v>85</v>
      </c>
      <c r="E761" s="127">
        <v>1</v>
      </c>
      <c r="F761" s="127">
        <v>0</v>
      </c>
      <c r="G761" s="130" t="s">
        <v>173</v>
      </c>
    </row>
    <row r="762" spans="2:7" x14ac:dyDescent="0.25">
      <c r="B762" s="126" t="s">
        <v>77</v>
      </c>
      <c r="C762" s="127">
        <v>17</v>
      </c>
      <c r="D762" s="127" t="s">
        <v>92</v>
      </c>
      <c r="E762" s="127">
        <v>0</v>
      </c>
      <c r="F762" s="127">
        <v>2</v>
      </c>
      <c r="G762" s="130" t="s">
        <v>86</v>
      </c>
    </row>
    <row r="763" spans="2:7" x14ac:dyDescent="0.25">
      <c r="B763" s="126" t="s">
        <v>77</v>
      </c>
      <c r="C763" s="127">
        <v>17</v>
      </c>
      <c r="D763" s="127" t="s">
        <v>87</v>
      </c>
      <c r="E763" s="127">
        <v>1</v>
      </c>
      <c r="F763" s="127">
        <v>2</v>
      </c>
      <c r="G763" s="130" t="s">
        <v>80</v>
      </c>
    </row>
    <row r="764" spans="2:7" x14ac:dyDescent="0.25">
      <c r="B764" s="126" t="s">
        <v>77</v>
      </c>
      <c r="C764" s="127">
        <v>17</v>
      </c>
      <c r="D764" s="127" t="s">
        <v>139</v>
      </c>
      <c r="E764" s="127">
        <v>0</v>
      </c>
      <c r="F764" s="127">
        <v>0</v>
      </c>
      <c r="G764" s="130" t="s">
        <v>82</v>
      </c>
    </row>
    <row r="765" spans="2:7" x14ac:dyDescent="0.25">
      <c r="B765" s="126" t="s">
        <v>77</v>
      </c>
      <c r="C765" s="127">
        <v>17</v>
      </c>
      <c r="D765" s="127" t="s">
        <v>81</v>
      </c>
      <c r="E765" s="127">
        <v>3</v>
      </c>
      <c r="F765" s="127">
        <v>0</v>
      </c>
      <c r="G765" s="130" t="s">
        <v>84</v>
      </c>
    </row>
    <row r="766" spans="2:7" x14ac:dyDescent="0.25">
      <c r="B766" s="126" t="s">
        <v>77</v>
      </c>
      <c r="C766" s="127">
        <v>17</v>
      </c>
      <c r="D766" s="127" t="s">
        <v>83</v>
      </c>
      <c r="E766" s="127">
        <v>3</v>
      </c>
      <c r="F766" s="127">
        <v>1</v>
      </c>
      <c r="G766" s="130" t="s">
        <v>88</v>
      </c>
    </row>
    <row r="767" spans="2:7" x14ac:dyDescent="0.25">
      <c r="B767" s="126" t="s">
        <v>77</v>
      </c>
      <c r="C767" s="127">
        <v>17</v>
      </c>
      <c r="D767" s="127" t="s">
        <v>90</v>
      </c>
      <c r="E767" s="127">
        <v>0</v>
      </c>
      <c r="F767" s="127">
        <v>0</v>
      </c>
      <c r="G767" s="130" t="s">
        <v>161</v>
      </c>
    </row>
    <row r="768" spans="2:7" x14ac:dyDescent="0.25">
      <c r="B768" s="126" t="s">
        <v>77</v>
      </c>
      <c r="C768" s="127">
        <v>18</v>
      </c>
      <c r="D768" s="127" t="s">
        <v>93</v>
      </c>
      <c r="E768" s="127">
        <v>0</v>
      </c>
      <c r="F768" s="127">
        <v>1</v>
      </c>
      <c r="G768" s="130" t="s">
        <v>84</v>
      </c>
    </row>
    <row r="769" spans="2:7" x14ac:dyDescent="0.25">
      <c r="B769" s="126" t="s">
        <v>77</v>
      </c>
      <c r="C769" s="127">
        <v>18</v>
      </c>
      <c r="D769" s="127" t="s">
        <v>87</v>
      </c>
      <c r="E769" s="127">
        <v>1</v>
      </c>
      <c r="F769" s="127">
        <v>2</v>
      </c>
      <c r="G769" s="130" t="s">
        <v>79</v>
      </c>
    </row>
    <row r="770" spans="2:7" x14ac:dyDescent="0.25">
      <c r="B770" s="126" t="s">
        <v>77</v>
      </c>
      <c r="C770" s="127">
        <v>18</v>
      </c>
      <c r="D770" s="127" t="s">
        <v>81</v>
      </c>
      <c r="E770" s="127">
        <v>2</v>
      </c>
      <c r="F770" s="127">
        <v>1</v>
      </c>
      <c r="G770" s="130" t="s">
        <v>86</v>
      </c>
    </row>
    <row r="771" spans="2:7" x14ac:dyDescent="0.25">
      <c r="B771" s="126" t="s">
        <v>77</v>
      </c>
      <c r="C771" s="127">
        <v>18</v>
      </c>
      <c r="D771" s="127" t="s">
        <v>85</v>
      </c>
      <c r="E771" s="127">
        <v>1</v>
      </c>
      <c r="F771" s="127">
        <v>2</v>
      </c>
      <c r="G771" s="130" t="s">
        <v>92</v>
      </c>
    </row>
    <row r="772" spans="2:7" x14ac:dyDescent="0.25">
      <c r="B772" s="126" t="s">
        <v>77</v>
      </c>
      <c r="C772" s="127">
        <v>18</v>
      </c>
      <c r="D772" s="127" t="s">
        <v>140</v>
      </c>
      <c r="E772" s="127">
        <v>3</v>
      </c>
      <c r="F772" s="127">
        <v>1</v>
      </c>
      <c r="G772" s="130" t="s">
        <v>173</v>
      </c>
    </row>
    <row r="773" spans="2:7" x14ac:dyDescent="0.25">
      <c r="B773" s="126" t="s">
        <v>77</v>
      </c>
      <c r="C773" s="127">
        <v>18</v>
      </c>
      <c r="D773" s="127" t="s">
        <v>139</v>
      </c>
      <c r="E773" s="127">
        <v>1</v>
      </c>
      <c r="F773" s="127">
        <v>6</v>
      </c>
      <c r="G773" s="130" t="s">
        <v>161</v>
      </c>
    </row>
    <row r="774" spans="2:7" x14ac:dyDescent="0.25">
      <c r="B774" s="126" t="s">
        <v>77</v>
      </c>
      <c r="C774" s="127">
        <v>18</v>
      </c>
      <c r="D774" s="127" t="s">
        <v>83</v>
      </c>
      <c r="E774" s="127">
        <v>2</v>
      </c>
      <c r="F774" s="127">
        <v>3</v>
      </c>
      <c r="G774" s="130" t="s">
        <v>82</v>
      </c>
    </row>
    <row r="775" spans="2:7" x14ac:dyDescent="0.25">
      <c r="B775" s="126" t="s">
        <v>77</v>
      </c>
      <c r="C775" s="127">
        <v>18</v>
      </c>
      <c r="D775" s="127" t="s">
        <v>91</v>
      </c>
      <c r="E775" s="127">
        <v>2</v>
      </c>
      <c r="F775" s="127">
        <v>1</v>
      </c>
      <c r="G775" s="130" t="s">
        <v>88</v>
      </c>
    </row>
    <row r="776" spans="2:7" x14ac:dyDescent="0.25">
      <c r="B776" s="126" t="s">
        <v>77</v>
      </c>
      <c r="C776" s="127">
        <v>18</v>
      </c>
      <c r="D776" s="127" t="s">
        <v>90</v>
      </c>
      <c r="E776" s="127">
        <v>1</v>
      </c>
      <c r="F776" s="127">
        <v>1</v>
      </c>
      <c r="G776" s="130" t="s">
        <v>80</v>
      </c>
    </row>
    <row r="777" spans="2:7" x14ac:dyDescent="0.25">
      <c r="B777" s="126" t="s">
        <v>77</v>
      </c>
      <c r="C777" s="127">
        <v>19</v>
      </c>
      <c r="D777" s="127" t="s">
        <v>173</v>
      </c>
      <c r="E777" s="127">
        <v>1</v>
      </c>
      <c r="F777" s="127">
        <v>0</v>
      </c>
      <c r="G777" s="130" t="s">
        <v>83</v>
      </c>
    </row>
    <row r="778" spans="2:7" x14ac:dyDescent="0.25">
      <c r="B778" s="126" t="s">
        <v>77</v>
      </c>
      <c r="C778" s="127">
        <v>19</v>
      </c>
      <c r="D778" s="127" t="s">
        <v>79</v>
      </c>
      <c r="E778" s="127">
        <v>1</v>
      </c>
      <c r="F778" s="127">
        <v>1</v>
      </c>
      <c r="G778" s="130" t="s">
        <v>93</v>
      </c>
    </row>
    <row r="779" spans="2:7" x14ac:dyDescent="0.25">
      <c r="B779" s="126" t="s">
        <v>77</v>
      </c>
      <c r="C779" s="127">
        <v>19</v>
      </c>
      <c r="D779" s="127" t="s">
        <v>86</v>
      </c>
      <c r="E779" s="127">
        <v>4</v>
      </c>
      <c r="F779" s="127">
        <v>0</v>
      </c>
      <c r="G779" s="130" t="s">
        <v>90</v>
      </c>
    </row>
    <row r="780" spans="2:7" x14ac:dyDescent="0.25">
      <c r="B780" s="126" t="s">
        <v>77</v>
      </c>
      <c r="C780" s="127">
        <v>19</v>
      </c>
      <c r="D780" s="127" t="s">
        <v>161</v>
      </c>
      <c r="E780" s="127">
        <v>1</v>
      </c>
      <c r="F780" s="127">
        <v>0</v>
      </c>
      <c r="G780" s="130" t="s">
        <v>85</v>
      </c>
    </row>
    <row r="781" spans="2:7" x14ac:dyDescent="0.25">
      <c r="B781" s="126" t="s">
        <v>77</v>
      </c>
      <c r="C781" s="127">
        <v>19</v>
      </c>
      <c r="D781" s="127" t="s">
        <v>88</v>
      </c>
      <c r="E781" s="127">
        <v>1</v>
      </c>
      <c r="F781" s="127">
        <v>0</v>
      </c>
      <c r="G781" s="130" t="s">
        <v>140</v>
      </c>
    </row>
    <row r="782" spans="2:7" x14ac:dyDescent="0.25">
      <c r="B782" s="126" t="s">
        <v>77</v>
      </c>
      <c r="C782" s="127">
        <v>19</v>
      </c>
      <c r="D782" s="127" t="s">
        <v>82</v>
      </c>
      <c r="E782" s="127">
        <v>3</v>
      </c>
      <c r="F782" s="127">
        <v>0</v>
      </c>
      <c r="G782" s="130" t="s">
        <v>91</v>
      </c>
    </row>
    <row r="783" spans="2:7" x14ac:dyDescent="0.25">
      <c r="B783" s="126" t="s">
        <v>77</v>
      </c>
      <c r="C783" s="127">
        <v>19</v>
      </c>
      <c r="D783" s="127" t="s">
        <v>80</v>
      </c>
      <c r="E783" s="127">
        <v>1</v>
      </c>
      <c r="F783" s="127">
        <v>0</v>
      </c>
      <c r="G783" s="130" t="s">
        <v>81</v>
      </c>
    </row>
    <row r="784" spans="2:7" x14ac:dyDescent="0.25">
      <c r="B784" s="126" t="s">
        <v>77</v>
      </c>
      <c r="C784" s="127">
        <v>19</v>
      </c>
      <c r="D784" s="127" t="s">
        <v>92</v>
      </c>
      <c r="E784" s="127">
        <v>3</v>
      </c>
      <c r="F784" s="127">
        <v>2</v>
      </c>
      <c r="G784" s="130" t="s">
        <v>87</v>
      </c>
    </row>
    <row r="785" spans="2:7" x14ac:dyDescent="0.25">
      <c r="B785" s="126" t="s">
        <v>77</v>
      </c>
      <c r="C785" s="127">
        <v>19</v>
      </c>
      <c r="D785" s="127" t="s">
        <v>84</v>
      </c>
      <c r="E785" s="127">
        <v>2</v>
      </c>
      <c r="F785" s="127">
        <v>0</v>
      </c>
      <c r="G785" s="130" t="s">
        <v>139</v>
      </c>
    </row>
    <row r="786" spans="2:7" x14ac:dyDescent="0.25">
      <c r="B786" s="126" t="s">
        <v>77</v>
      </c>
      <c r="C786" s="127">
        <v>20</v>
      </c>
      <c r="D786" s="127" t="s">
        <v>90</v>
      </c>
      <c r="E786" s="127">
        <v>2</v>
      </c>
      <c r="F786" s="127">
        <v>0</v>
      </c>
      <c r="G786" s="130" t="s">
        <v>92</v>
      </c>
    </row>
    <row r="787" spans="2:7" x14ac:dyDescent="0.25">
      <c r="B787" s="126" t="s">
        <v>77</v>
      </c>
      <c r="C787" s="127">
        <v>20</v>
      </c>
      <c r="D787" s="127" t="s">
        <v>140</v>
      </c>
      <c r="E787" s="127">
        <v>0</v>
      </c>
      <c r="F787" s="127">
        <v>2</v>
      </c>
      <c r="G787" s="130" t="s">
        <v>79</v>
      </c>
    </row>
    <row r="788" spans="2:7" x14ac:dyDescent="0.25">
      <c r="B788" s="126" t="s">
        <v>77</v>
      </c>
      <c r="C788" s="127">
        <v>20</v>
      </c>
      <c r="D788" s="127" t="s">
        <v>139</v>
      </c>
      <c r="E788" s="127">
        <v>2</v>
      </c>
      <c r="F788" s="127">
        <v>1</v>
      </c>
      <c r="G788" s="130" t="s">
        <v>80</v>
      </c>
    </row>
    <row r="789" spans="2:7" x14ac:dyDescent="0.25">
      <c r="B789" s="126" t="s">
        <v>77</v>
      </c>
      <c r="C789" s="127">
        <v>20</v>
      </c>
      <c r="D789" s="127" t="s">
        <v>87</v>
      </c>
      <c r="E789" s="127">
        <v>0</v>
      </c>
      <c r="F789" s="127">
        <v>1</v>
      </c>
      <c r="G789" s="130" t="s">
        <v>82</v>
      </c>
    </row>
    <row r="790" spans="2:7" x14ac:dyDescent="0.25">
      <c r="B790" s="126" t="s">
        <v>77</v>
      </c>
      <c r="C790" s="127">
        <v>20</v>
      </c>
      <c r="D790" s="127" t="s">
        <v>81</v>
      </c>
      <c r="E790" s="127">
        <v>0</v>
      </c>
      <c r="F790" s="127">
        <v>3</v>
      </c>
      <c r="G790" s="130" t="s">
        <v>173</v>
      </c>
    </row>
    <row r="791" spans="2:7" x14ac:dyDescent="0.25">
      <c r="B791" s="126" t="s">
        <v>77</v>
      </c>
      <c r="C791" s="127">
        <v>20</v>
      </c>
      <c r="D791" s="127" t="s">
        <v>83</v>
      </c>
      <c r="E791" s="127">
        <v>3</v>
      </c>
      <c r="F791" s="127">
        <v>0</v>
      </c>
      <c r="G791" s="130" t="s">
        <v>84</v>
      </c>
    </row>
    <row r="792" spans="2:7" x14ac:dyDescent="0.25">
      <c r="B792" s="126" t="s">
        <v>77</v>
      </c>
      <c r="C792" s="127">
        <v>20</v>
      </c>
      <c r="D792" s="127" t="s">
        <v>93</v>
      </c>
      <c r="E792" s="127">
        <v>2</v>
      </c>
      <c r="F792" s="127">
        <v>0</v>
      </c>
      <c r="G792" s="130" t="s">
        <v>88</v>
      </c>
    </row>
    <row r="793" spans="2:7" x14ac:dyDescent="0.25">
      <c r="B793" s="126" t="s">
        <v>77</v>
      </c>
      <c r="C793" s="127">
        <v>20</v>
      </c>
      <c r="D793" s="127" t="s">
        <v>85</v>
      </c>
      <c r="E793" s="127">
        <v>2</v>
      </c>
      <c r="F793" s="127">
        <v>1</v>
      </c>
      <c r="G793" s="130" t="s">
        <v>86</v>
      </c>
    </row>
    <row r="794" spans="2:7" x14ac:dyDescent="0.25">
      <c r="B794" s="126" t="s">
        <v>77</v>
      </c>
      <c r="C794" s="127">
        <v>20</v>
      </c>
      <c r="D794" s="127" t="s">
        <v>91</v>
      </c>
      <c r="E794" s="127">
        <v>2</v>
      </c>
      <c r="F794" s="127">
        <v>1</v>
      </c>
      <c r="G794" s="130" t="s">
        <v>161</v>
      </c>
    </row>
    <row r="795" spans="2:7" x14ac:dyDescent="0.25">
      <c r="B795" s="126" t="s">
        <v>77</v>
      </c>
      <c r="C795" s="127">
        <v>21</v>
      </c>
      <c r="D795" s="127" t="s">
        <v>92</v>
      </c>
      <c r="E795" s="127">
        <v>1</v>
      </c>
      <c r="F795" s="127">
        <v>3</v>
      </c>
      <c r="G795" s="130" t="s">
        <v>83</v>
      </c>
    </row>
    <row r="796" spans="2:7" x14ac:dyDescent="0.25">
      <c r="B796" s="126" t="s">
        <v>77</v>
      </c>
      <c r="C796" s="127">
        <v>21</v>
      </c>
      <c r="D796" s="127" t="s">
        <v>88</v>
      </c>
      <c r="E796" s="127">
        <v>1</v>
      </c>
      <c r="F796" s="127">
        <v>1</v>
      </c>
      <c r="G796" s="130" t="s">
        <v>79</v>
      </c>
    </row>
    <row r="797" spans="2:7" x14ac:dyDescent="0.25">
      <c r="B797" s="126" t="s">
        <v>77</v>
      </c>
      <c r="C797" s="127">
        <v>21</v>
      </c>
      <c r="D797" s="127" t="s">
        <v>80</v>
      </c>
      <c r="E797" s="127">
        <v>3</v>
      </c>
      <c r="F797" s="127">
        <v>0</v>
      </c>
      <c r="G797" s="130" t="s">
        <v>85</v>
      </c>
    </row>
    <row r="798" spans="2:7" x14ac:dyDescent="0.25">
      <c r="B798" s="126" t="s">
        <v>77</v>
      </c>
      <c r="C798" s="127">
        <v>21</v>
      </c>
      <c r="D798" s="127" t="s">
        <v>84</v>
      </c>
      <c r="E798" s="127">
        <v>0</v>
      </c>
      <c r="F798" s="127">
        <v>2</v>
      </c>
      <c r="G798" s="130" t="s">
        <v>140</v>
      </c>
    </row>
    <row r="799" spans="2:7" x14ac:dyDescent="0.25">
      <c r="B799" s="126" t="s">
        <v>77</v>
      </c>
      <c r="C799" s="127">
        <v>21</v>
      </c>
      <c r="D799" s="127" t="s">
        <v>90</v>
      </c>
      <c r="E799" s="127">
        <v>0</v>
      </c>
      <c r="F799" s="127">
        <v>2</v>
      </c>
      <c r="G799" s="130" t="s">
        <v>87</v>
      </c>
    </row>
    <row r="800" spans="2:7" x14ac:dyDescent="0.25">
      <c r="B800" s="126" t="s">
        <v>77</v>
      </c>
      <c r="C800" s="127">
        <v>21</v>
      </c>
      <c r="D800" s="127" t="s">
        <v>86</v>
      </c>
      <c r="E800" s="127">
        <v>2</v>
      </c>
      <c r="F800" s="127">
        <v>0</v>
      </c>
      <c r="G800" s="130" t="s">
        <v>139</v>
      </c>
    </row>
    <row r="801" spans="2:7" x14ac:dyDescent="0.25">
      <c r="B801" s="126" t="s">
        <v>77</v>
      </c>
      <c r="C801" s="127">
        <v>21</v>
      </c>
      <c r="D801" s="127" t="s">
        <v>173</v>
      </c>
      <c r="E801" s="127">
        <v>2</v>
      </c>
      <c r="F801" s="127">
        <v>2</v>
      </c>
      <c r="G801" s="130" t="s">
        <v>91</v>
      </c>
    </row>
    <row r="802" spans="2:7" x14ac:dyDescent="0.25">
      <c r="B802" s="126" t="s">
        <v>77</v>
      </c>
      <c r="C802" s="127">
        <v>21</v>
      </c>
      <c r="D802" s="127" t="s">
        <v>82</v>
      </c>
      <c r="E802" s="127">
        <v>1</v>
      </c>
      <c r="F802" s="127">
        <v>2</v>
      </c>
      <c r="G802" s="130" t="s">
        <v>81</v>
      </c>
    </row>
    <row r="803" spans="2:7" x14ac:dyDescent="0.25">
      <c r="B803" s="126" t="s">
        <v>77</v>
      </c>
      <c r="C803" s="127">
        <v>21</v>
      </c>
      <c r="D803" s="127" t="s">
        <v>161</v>
      </c>
      <c r="E803" s="127">
        <v>1</v>
      </c>
      <c r="F803" s="127">
        <v>1</v>
      </c>
      <c r="G803" s="130" t="s">
        <v>93</v>
      </c>
    </row>
    <row r="804" spans="2:7" x14ac:dyDescent="0.25">
      <c r="B804" s="126" t="s">
        <v>77</v>
      </c>
      <c r="C804" s="127">
        <v>22</v>
      </c>
      <c r="D804" s="127" t="s">
        <v>85</v>
      </c>
      <c r="E804" s="127">
        <v>1</v>
      </c>
      <c r="F804" s="127">
        <v>2</v>
      </c>
      <c r="G804" s="130" t="s">
        <v>87</v>
      </c>
    </row>
    <row r="805" spans="2:7" x14ac:dyDescent="0.25">
      <c r="B805" s="126" t="s">
        <v>77</v>
      </c>
      <c r="C805" s="127">
        <v>22</v>
      </c>
      <c r="D805" s="127" t="s">
        <v>91</v>
      </c>
      <c r="E805" s="127">
        <v>0</v>
      </c>
      <c r="F805" s="127">
        <v>3</v>
      </c>
      <c r="G805" s="130" t="s">
        <v>80</v>
      </c>
    </row>
    <row r="806" spans="2:7" x14ac:dyDescent="0.25">
      <c r="B806" s="126" t="s">
        <v>77</v>
      </c>
      <c r="C806" s="127">
        <v>22</v>
      </c>
      <c r="D806" s="127" t="s">
        <v>83</v>
      </c>
      <c r="E806" s="127">
        <v>0</v>
      </c>
      <c r="F806" s="127">
        <v>2</v>
      </c>
      <c r="G806" s="130" t="s">
        <v>90</v>
      </c>
    </row>
    <row r="807" spans="2:7" x14ac:dyDescent="0.25">
      <c r="B807" s="126" t="s">
        <v>77</v>
      </c>
      <c r="C807" s="127">
        <v>22</v>
      </c>
      <c r="D807" s="127" t="s">
        <v>81</v>
      </c>
      <c r="E807" s="127">
        <v>3</v>
      </c>
      <c r="F807" s="127">
        <v>1</v>
      </c>
      <c r="G807" s="130" t="s">
        <v>161</v>
      </c>
    </row>
    <row r="808" spans="2:7" x14ac:dyDescent="0.25">
      <c r="B808" s="126" t="s">
        <v>77</v>
      </c>
      <c r="C808" s="127">
        <v>22</v>
      </c>
      <c r="D808" s="127" t="s">
        <v>79</v>
      </c>
      <c r="E808" s="127">
        <v>8</v>
      </c>
      <c r="F808" s="127">
        <v>0</v>
      </c>
      <c r="G808" s="130" t="s">
        <v>173</v>
      </c>
    </row>
    <row r="809" spans="2:7" x14ac:dyDescent="0.25">
      <c r="B809" s="126" t="s">
        <v>77</v>
      </c>
      <c r="C809" s="127">
        <v>22</v>
      </c>
      <c r="D809" s="127" t="s">
        <v>139</v>
      </c>
      <c r="E809" s="127">
        <v>1</v>
      </c>
      <c r="F809" s="127">
        <v>2</v>
      </c>
      <c r="G809" s="130" t="s">
        <v>92</v>
      </c>
    </row>
    <row r="810" spans="2:7" x14ac:dyDescent="0.25">
      <c r="B810" s="126" t="s">
        <v>77</v>
      </c>
      <c r="C810" s="127">
        <v>22</v>
      </c>
      <c r="D810" s="127" t="s">
        <v>88</v>
      </c>
      <c r="E810" s="127">
        <v>2</v>
      </c>
      <c r="F810" s="127">
        <v>0</v>
      </c>
      <c r="G810" s="130" t="s">
        <v>84</v>
      </c>
    </row>
    <row r="811" spans="2:7" x14ac:dyDescent="0.25">
      <c r="B811" s="126" t="s">
        <v>77</v>
      </c>
      <c r="C811" s="127">
        <v>22</v>
      </c>
      <c r="D811" s="127" t="s">
        <v>140</v>
      </c>
      <c r="E811" s="127">
        <v>0</v>
      </c>
      <c r="F811" s="127">
        <v>2</v>
      </c>
      <c r="G811" s="130" t="s">
        <v>82</v>
      </c>
    </row>
    <row r="812" spans="2:7" x14ac:dyDescent="0.25">
      <c r="B812" s="126" t="s">
        <v>77</v>
      </c>
      <c r="C812" s="127">
        <v>22</v>
      </c>
      <c r="D812" s="127" t="s">
        <v>93</v>
      </c>
      <c r="E812" s="127">
        <v>1</v>
      </c>
      <c r="F812" s="127">
        <v>1</v>
      </c>
      <c r="G812" s="130" t="s">
        <v>86</v>
      </c>
    </row>
    <row r="813" spans="2:7" x14ac:dyDescent="0.25">
      <c r="B813" s="126" t="s">
        <v>77</v>
      </c>
      <c r="C813" s="127">
        <v>23</v>
      </c>
      <c r="D813" s="127" t="s">
        <v>92</v>
      </c>
      <c r="E813" s="127">
        <v>2</v>
      </c>
      <c r="F813" s="127">
        <v>2</v>
      </c>
      <c r="G813" s="130" t="s">
        <v>81</v>
      </c>
    </row>
    <row r="814" spans="2:7" x14ac:dyDescent="0.25">
      <c r="B814" s="126" t="s">
        <v>77</v>
      </c>
      <c r="C814" s="127">
        <v>23</v>
      </c>
      <c r="D814" s="127" t="s">
        <v>161</v>
      </c>
      <c r="E814" s="127">
        <v>0</v>
      </c>
      <c r="F814" s="127">
        <v>3</v>
      </c>
      <c r="G814" s="130" t="s">
        <v>79</v>
      </c>
    </row>
    <row r="815" spans="2:7" x14ac:dyDescent="0.25">
      <c r="B815" s="126" t="s">
        <v>77</v>
      </c>
      <c r="C815" s="127">
        <v>23</v>
      </c>
      <c r="D815" s="127" t="s">
        <v>80</v>
      </c>
      <c r="E815" s="127">
        <v>6</v>
      </c>
      <c r="F815" s="127">
        <v>2</v>
      </c>
      <c r="G815" s="130" t="s">
        <v>83</v>
      </c>
    </row>
    <row r="816" spans="2:7" x14ac:dyDescent="0.25">
      <c r="B816" s="126" t="s">
        <v>77</v>
      </c>
      <c r="C816" s="127">
        <v>23</v>
      </c>
      <c r="D816" s="127" t="s">
        <v>90</v>
      </c>
      <c r="E816" s="127">
        <v>1</v>
      </c>
      <c r="F816" s="127">
        <v>1</v>
      </c>
      <c r="G816" s="130" t="s">
        <v>85</v>
      </c>
    </row>
    <row r="817" spans="2:7" x14ac:dyDescent="0.25">
      <c r="B817" s="126" t="s">
        <v>77</v>
      </c>
      <c r="C817" s="127">
        <v>23</v>
      </c>
      <c r="D817" s="127" t="s">
        <v>86</v>
      </c>
      <c r="E817" s="127">
        <v>5</v>
      </c>
      <c r="F817" s="127">
        <v>2</v>
      </c>
      <c r="G817" s="130" t="s">
        <v>140</v>
      </c>
    </row>
    <row r="818" spans="2:7" x14ac:dyDescent="0.25">
      <c r="B818" s="126" t="s">
        <v>77</v>
      </c>
      <c r="C818" s="127">
        <v>23</v>
      </c>
      <c r="D818" s="127" t="s">
        <v>87</v>
      </c>
      <c r="E818" s="127">
        <v>2</v>
      </c>
      <c r="F818" s="127">
        <v>0</v>
      </c>
      <c r="G818" s="130" t="s">
        <v>139</v>
      </c>
    </row>
    <row r="819" spans="2:7" x14ac:dyDescent="0.25">
      <c r="B819" s="126" t="s">
        <v>77</v>
      </c>
      <c r="C819" s="127">
        <v>23</v>
      </c>
      <c r="D819" s="127" t="s">
        <v>82</v>
      </c>
      <c r="E819" s="127">
        <v>4</v>
      </c>
      <c r="F819" s="127">
        <v>2</v>
      </c>
      <c r="G819" s="130" t="s">
        <v>93</v>
      </c>
    </row>
    <row r="820" spans="2:7" x14ac:dyDescent="0.25">
      <c r="B820" s="126" t="s">
        <v>77</v>
      </c>
      <c r="C820" s="127">
        <v>23</v>
      </c>
      <c r="D820" s="127" t="s">
        <v>84</v>
      </c>
      <c r="E820" s="127">
        <v>1</v>
      </c>
      <c r="F820" s="127">
        <v>2</v>
      </c>
      <c r="G820" s="130" t="s">
        <v>91</v>
      </c>
    </row>
    <row r="821" spans="2:7" x14ac:dyDescent="0.25">
      <c r="B821" s="126" t="s">
        <v>77</v>
      </c>
      <c r="C821" s="127">
        <v>23</v>
      </c>
      <c r="D821" s="127" t="s">
        <v>173</v>
      </c>
      <c r="E821" s="127">
        <v>1</v>
      </c>
      <c r="F821" s="127">
        <v>0</v>
      </c>
      <c r="G821" s="130" t="s">
        <v>88</v>
      </c>
    </row>
    <row r="822" spans="2:7" x14ac:dyDescent="0.25">
      <c r="B822" s="126" t="s">
        <v>77</v>
      </c>
      <c r="C822" s="127">
        <v>24</v>
      </c>
      <c r="D822" s="127" t="s">
        <v>83</v>
      </c>
      <c r="E822" s="127">
        <v>1</v>
      </c>
      <c r="F822" s="127">
        <v>1</v>
      </c>
      <c r="G822" s="130" t="s">
        <v>87</v>
      </c>
    </row>
    <row r="823" spans="2:7" x14ac:dyDescent="0.25">
      <c r="B823" s="126" t="s">
        <v>77</v>
      </c>
      <c r="C823" s="127">
        <v>24</v>
      </c>
      <c r="D823" s="127" t="s">
        <v>88</v>
      </c>
      <c r="E823" s="127">
        <v>2</v>
      </c>
      <c r="F823" s="127">
        <v>1</v>
      </c>
      <c r="G823" s="130" t="s">
        <v>80</v>
      </c>
    </row>
    <row r="824" spans="2:7" x14ac:dyDescent="0.25">
      <c r="B824" s="126" t="s">
        <v>77</v>
      </c>
      <c r="C824" s="127">
        <v>24</v>
      </c>
      <c r="D824" s="127" t="s">
        <v>139</v>
      </c>
      <c r="E824" s="127">
        <v>2</v>
      </c>
      <c r="F824" s="127">
        <v>1</v>
      </c>
      <c r="G824" s="130" t="s">
        <v>90</v>
      </c>
    </row>
    <row r="825" spans="2:7" x14ac:dyDescent="0.25">
      <c r="B825" s="126" t="s">
        <v>77</v>
      </c>
      <c r="C825" s="127">
        <v>24</v>
      </c>
      <c r="D825" s="127" t="s">
        <v>81</v>
      </c>
      <c r="E825" s="127">
        <v>0</v>
      </c>
      <c r="F825" s="127">
        <v>1</v>
      </c>
      <c r="G825" s="130" t="s">
        <v>85</v>
      </c>
    </row>
    <row r="826" spans="2:7" x14ac:dyDescent="0.25">
      <c r="B826" s="126" t="s">
        <v>77</v>
      </c>
      <c r="C826" s="127">
        <v>24</v>
      </c>
      <c r="D826" s="127" t="s">
        <v>91</v>
      </c>
      <c r="E826" s="127">
        <v>1</v>
      </c>
      <c r="F826" s="127">
        <v>1</v>
      </c>
      <c r="G826" s="130" t="s">
        <v>86</v>
      </c>
    </row>
    <row r="827" spans="2:7" x14ac:dyDescent="0.25">
      <c r="B827" s="126" t="s">
        <v>77</v>
      </c>
      <c r="C827" s="127">
        <v>24</v>
      </c>
      <c r="D827" s="127" t="s">
        <v>79</v>
      </c>
      <c r="E827" s="127">
        <v>3</v>
      </c>
      <c r="F827" s="127">
        <v>0</v>
      </c>
      <c r="G827" s="130" t="s">
        <v>84</v>
      </c>
    </row>
    <row r="828" spans="2:7" x14ac:dyDescent="0.25">
      <c r="B828" s="126" t="s">
        <v>77</v>
      </c>
      <c r="C828" s="127">
        <v>24</v>
      </c>
      <c r="D828" s="127" t="s">
        <v>140</v>
      </c>
      <c r="E828" s="127">
        <v>2</v>
      </c>
      <c r="F828" s="127">
        <v>2</v>
      </c>
      <c r="G828" s="130" t="s">
        <v>161</v>
      </c>
    </row>
    <row r="829" spans="2:7" x14ac:dyDescent="0.25">
      <c r="B829" s="126" t="s">
        <v>77</v>
      </c>
      <c r="C829" s="127">
        <v>24</v>
      </c>
      <c r="D829" s="127" t="s">
        <v>93</v>
      </c>
      <c r="E829" s="127">
        <v>3</v>
      </c>
      <c r="F829" s="127">
        <v>0</v>
      </c>
      <c r="G829" s="130" t="s">
        <v>92</v>
      </c>
    </row>
    <row r="830" spans="2:7" x14ac:dyDescent="0.25">
      <c r="B830" s="126" t="s">
        <v>77</v>
      </c>
      <c r="C830" s="127">
        <v>24</v>
      </c>
      <c r="D830" s="127" t="s">
        <v>173</v>
      </c>
      <c r="E830" s="127">
        <v>2</v>
      </c>
      <c r="F830" s="127">
        <v>1</v>
      </c>
      <c r="G830" s="130" t="s">
        <v>82</v>
      </c>
    </row>
    <row r="831" spans="2:7" x14ac:dyDescent="0.25">
      <c r="B831" s="126" t="s">
        <v>77</v>
      </c>
      <c r="C831" s="127">
        <v>25</v>
      </c>
      <c r="D831" s="127" t="s">
        <v>80</v>
      </c>
      <c r="E831" s="127">
        <v>1</v>
      </c>
      <c r="F831" s="127">
        <v>0</v>
      </c>
      <c r="G831" s="130" t="s">
        <v>140</v>
      </c>
    </row>
    <row r="832" spans="2:7" x14ac:dyDescent="0.25">
      <c r="B832" s="126" t="s">
        <v>77</v>
      </c>
      <c r="C832" s="127">
        <v>25</v>
      </c>
      <c r="D832" s="127" t="s">
        <v>86</v>
      </c>
      <c r="E832" s="127">
        <v>1</v>
      </c>
      <c r="F832" s="127">
        <v>0</v>
      </c>
      <c r="G832" s="130" t="s">
        <v>83</v>
      </c>
    </row>
    <row r="833" spans="2:7" x14ac:dyDescent="0.25">
      <c r="B833" s="126" t="s">
        <v>77</v>
      </c>
      <c r="C833" s="127">
        <v>25</v>
      </c>
      <c r="D833" s="127" t="s">
        <v>161</v>
      </c>
      <c r="E833" s="127">
        <v>4</v>
      </c>
      <c r="F833" s="127">
        <v>2</v>
      </c>
      <c r="G833" s="130" t="s">
        <v>88</v>
      </c>
    </row>
    <row r="834" spans="2:7" x14ac:dyDescent="0.25">
      <c r="B834" s="126" t="s">
        <v>77</v>
      </c>
      <c r="C834" s="127">
        <v>25</v>
      </c>
      <c r="D834" s="127" t="s">
        <v>85</v>
      </c>
      <c r="E834" s="127">
        <v>1</v>
      </c>
      <c r="F834" s="127">
        <v>0</v>
      </c>
      <c r="G834" s="130" t="s">
        <v>139</v>
      </c>
    </row>
    <row r="835" spans="2:7" x14ac:dyDescent="0.25">
      <c r="B835" s="126" t="s">
        <v>77</v>
      </c>
      <c r="C835" s="127">
        <v>25</v>
      </c>
      <c r="D835" s="127" t="s">
        <v>87</v>
      </c>
      <c r="E835" s="127">
        <v>3</v>
      </c>
      <c r="F835" s="127">
        <v>0</v>
      </c>
      <c r="G835" s="130" t="s">
        <v>81</v>
      </c>
    </row>
    <row r="836" spans="2:7" x14ac:dyDescent="0.25">
      <c r="B836" s="126" t="s">
        <v>77</v>
      </c>
      <c r="C836" s="127">
        <v>25</v>
      </c>
      <c r="D836" s="127" t="s">
        <v>92</v>
      </c>
      <c r="E836" s="127">
        <v>1</v>
      </c>
      <c r="F836" s="127">
        <v>1</v>
      </c>
      <c r="G836" s="130" t="s">
        <v>91</v>
      </c>
    </row>
    <row r="837" spans="2:7" x14ac:dyDescent="0.25">
      <c r="B837" s="126" t="s">
        <v>77</v>
      </c>
      <c r="C837" s="127">
        <v>25</v>
      </c>
      <c r="D837" s="127" t="s">
        <v>84</v>
      </c>
      <c r="E837" s="127">
        <v>0</v>
      </c>
      <c r="F837" s="127">
        <v>0</v>
      </c>
      <c r="G837" s="130" t="s">
        <v>173</v>
      </c>
    </row>
    <row r="838" spans="2:7" x14ac:dyDescent="0.25">
      <c r="B838" s="126" t="s">
        <v>77</v>
      </c>
      <c r="C838" s="127">
        <v>25</v>
      </c>
      <c r="D838" s="127" t="s">
        <v>90</v>
      </c>
      <c r="E838" s="127">
        <v>0</v>
      </c>
      <c r="F838" s="127">
        <v>1</v>
      </c>
      <c r="G838" s="130" t="s">
        <v>93</v>
      </c>
    </row>
    <row r="839" spans="2:7" x14ac:dyDescent="0.25">
      <c r="B839" s="126" t="s">
        <v>77</v>
      </c>
      <c r="C839" s="127">
        <v>25</v>
      </c>
      <c r="D839" s="127" t="s">
        <v>82</v>
      </c>
      <c r="E839" s="127">
        <v>1</v>
      </c>
      <c r="F839" s="127">
        <v>1</v>
      </c>
      <c r="G839" s="130" t="s">
        <v>79</v>
      </c>
    </row>
    <row r="840" spans="2:7" x14ac:dyDescent="0.25">
      <c r="B840" s="126" t="s">
        <v>77</v>
      </c>
      <c r="C840" s="127">
        <v>26</v>
      </c>
      <c r="D840" s="127" t="s">
        <v>88</v>
      </c>
      <c r="E840" s="127">
        <v>1</v>
      </c>
      <c r="F840" s="127">
        <v>3</v>
      </c>
      <c r="G840" s="130" t="s">
        <v>86</v>
      </c>
    </row>
    <row r="841" spans="2:7" x14ac:dyDescent="0.25">
      <c r="B841" s="126" t="s">
        <v>77</v>
      </c>
      <c r="C841" s="127">
        <v>26</v>
      </c>
      <c r="D841" s="127" t="s">
        <v>93</v>
      </c>
      <c r="E841" s="127">
        <v>1</v>
      </c>
      <c r="F841" s="127">
        <v>1</v>
      </c>
      <c r="G841" s="130" t="s">
        <v>80</v>
      </c>
    </row>
    <row r="842" spans="2:7" x14ac:dyDescent="0.25">
      <c r="B842" s="126" t="s">
        <v>77</v>
      </c>
      <c r="C842" s="127">
        <v>26</v>
      </c>
      <c r="D842" s="127" t="s">
        <v>173</v>
      </c>
      <c r="E842" s="127">
        <v>2</v>
      </c>
      <c r="F842" s="127">
        <v>1</v>
      </c>
      <c r="G842" s="130" t="s">
        <v>161</v>
      </c>
    </row>
    <row r="843" spans="2:7" x14ac:dyDescent="0.25">
      <c r="B843" s="126" t="s">
        <v>77</v>
      </c>
      <c r="C843" s="127">
        <v>26</v>
      </c>
      <c r="D843" s="127" t="s">
        <v>79</v>
      </c>
      <c r="E843" s="127">
        <v>6</v>
      </c>
      <c r="F843" s="127">
        <v>0</v>
      </c>
      <c r="G843" s="130" t="s">
        <v>92</v>
      </c>
    </row>
    <row r="844" spans="2:7" x14ac:dyDescent="0.25">
      <c r="B844" s="126" t="s">
        <v>77</v>
      </c>
      <c r="C844" s="127">
        <v>26</v>
      </c>
      <c r="D844" s="127" t="s">
        <v>91</v>
      </c>
      <c r="E844" s="127">
        <v>2</v>
      </c>
      <c r="F844" s="127">
        <v>5</v>
      </c>
      <c r="G844" s="130" t="s">
        <v>87</v>
      </c>
    </row>
    <row r="845" spans="2:7" x14ac:dyDescent="0.25">
      <c r="B845" s="126" t="s">
        <v>77</v>
      </c>
      <c r="C845" s="127">
        <v>26</v>
      </c>
      <c r="D845" s="127" t="s">
        <v>81</v>
      </c>
      <c r="E845" s="127">
        <v>4</v>
      </c>
      <c r="F845" s="127">
        <v>0</v>
      </c>
      <c r="G845" s="130" t="s">
        <v>139</v>
      </c>
    </row>
    <row r="846" spans="2:7" x14ac:dyDescent="0.25">
      <c r="B846" s="126" t="s">
        <v>77</v>
      </c>
      <c r="C846" s="127">
        <v>26</v>
      </c>
      <c r="D846" s="127" t="s">
        <v>84</v>
      </c>
      <c r="E846" s="127">
        <v>0</v>
      </c>
      <c r="F846" s="127">
        <v>0</v>
      </c>
      <c r="G846" s="130" t="s">
        <v>82</v>
      </c>
    </row>
    <row r="847" spans="2:7" x14ac:dyDescent="0.25">
      <c r="B847" s="126" t="s">
        <v>77</v>
      </c>
      <c r="C847" s="127">
        <v>26</v>
      </c>
      <c r="D847" s="127" t="s">
        <v>140</v>
      </c>
      <c r="E847" s="127">
        <v>2</v>
      </c>
      <c r="F847" s="127">
        <v>1</v>
      </c>
      <c r="G847" s="130" t="s">
        <v>90</v>
      </c>
    </row>
    <row r="848" spans="2:7" x14ac:dyDescent="0.25">
      <c r="B848" s="126" t="s">
        <v>77</v>
      </c>
      <c r="C848" s="127">
        <v>26</v>
      </c>
      <c r="D848" s="127" t="s">
        <v>83</v>
      </c>
      <c r="E848" s="127">
        <v>3</v>
      </c>
      <c r="F848" s="127">
        <v>3</v>
      </c>
      <c r="G848" s="130" t="s">
        <v>85</v>
      </c>
    </row>
    <row r="849" spans="2:7" x14ac:dyDescent="0.25">
      <c r="B849" s="126" t="s">
        <v>77</v>
      </c>
      <c r="C849" s="127">
        <v>27</v>
      </c>
      <c r="D849" s="127" t="s">
        <v>86</v>
      </c>
      <c r="E849" s="127">
        <v>1</v>
      </c>
      <c r="F849" s="127">
        <v>0</v>
      </c>
      <c r="G849" s="130" t="s">
        <v>79</v>
      </c>
    </row>
    <row r="850" spans="2:7" x14ac:dyDescent="0.25">
      <c r="B850" s="126" t="s">
        <v>77</v>
      </c>
      <c r="C850" s="127">
        <v>27</v>
      </c>
      <c r="D850" s="127" t="s">
        <v>87</v>
      </c>
      <c r="E850" s="127">
        <v>3</v>
      </c>
      <c r="F850" s="127">
        <v>0</v>
      </c>
      <c r="G850" s="130" t="s">
        <v>93</v>
      </c>
    </row>
    <row r="851" spans="2:7" x14ac:dyDescent="0.25">
      <c r="B851" s="126" t="s">
        <v>77</v>
      </c>
      <c r="C851" s="127">
        <v>27</v>
      </c>
      <c r="D851" s="127" t="s">
        <v>80</v>
      </c>
      <c r="E851" s="127">
        <v>3</v>
      </c>
      <c r="F851" s="127">
        <v>0</v>
      </c>
      <c r="G851" s="130" t="s">
        <v>173</v>
      </c>
    </row>
    <row r="852" spans="2:7" x14ac:dyDescent="0.25">
      <c r="B852" s="126" t="s">
        <v>77</v>
      </c>
      <c r="C852" s="127">
        <v>27</v>
      </c>
      <c r="D852" s="127" t="s">
        <v>161</v>
      </c>
      <c r="E852" s="127">
        <v>1</v>
      </c>
      <c r="F852" s="127">
        <v>0</v>
      </c>
      <c r="G852" s="130" t="s">
        <v>84</v>
      </c>
    </row>
    <row r="853" spans="2:7" x14ac:dyDescent="0.25">
      <c r="B853" s="126" t="s">
        <v>77</v>
      </c>
      <c r="C853" s="127">
        <v>27</v>
      </c>
      <c r="D853" s="127" t="s">
        <v>139</v>
      </c>
      <c r="E853" s="127">
        <v>0</v>
      </c>
      <c r="F853" s="127">
        <v>2</v>
      </c>
      <c r="G853" s="130" t="s">
        <v>83</v>
      </c>
    </row>
    <row r="854" spans="2:7" x14ac:dyDescent="0.25">
      <c r="B854" s="126" t="s">
        <v>77</v>
      </c>
      <c r="C854" s="127">
        <v>27</v>
      </c>
      <c r="D854" s="127" t="s">
        <v>82</v>
      </c>
      <c r="E854" s="127">
        <v>1</v>
      </c>
      <c r="F854" s="127">
        <v>0</v>
      </c>
      <c r="G854" s="130" t="s">
        <v>88</v>
      </c>
    </row>
    <row r="855" spans="2:7" x14ac:dyDescent="0.25">
      <c r="B855" s="126" t="s">
        <v>77</v>
      </c>
      <c r="C855" s="127">
        <v>27</v>
      </c>
      <c r="D855" s="127" t="s">
        <v>92</v>
      </c>
      <c r="E855" s="127">
        <v>2</v>
      </c>
      <c r="F855" s="127">
        <v>3</v>
      </c>
      <c r="G855" s="130" t="s">
        <v>140</v>
      </c>
    </row>
    <row r="856" spans="2:7" x14ac:dyDescent="0.25">
      <c r="B856" s="126" t="s">
        <v>77</v>
      </c>
      <c r="C856" s="127">
        <v>27</v>
      </c>
      <c r="D856" s="127" t="s">
        <v>85</v>
      </c>
      <c r="E856" s="127">
        <v>0</v>
      </c>
      <c r="F856" s="127">
        <v>1</v>
      </c>
      <c r="G856" s="130" t="s">
        <v>91</v>
      </c>
    </row>
    <row r="857" spans="2:7" x14ac:dyDescent="0.25">
      <c r="B857" s="126" t="s">
        <v>77</v>
      </c>
      <c r="C857" s="127">
        <v>27</v>
      </c>
      <c r="D857" s="127" t="s">
        <v>90</v>
      </c>
      <c r="E857" s="127">
        <v>2</v>
      </c>
      <c r="F857" s="127">
        <v>3</v>
      </c>
      <c r="G857" s="130" t="s">
        <v>81</v>
      </c>
    </row>
    <row r="858" spans="2:7" x14ac:dyDescent="0.25">
      <c r="B858" s="126" t="s">
        <v>77</v>
      </c>
      <c r="C858" s="127">
        <v>28</v>
      </c>
      <c r="D858" s="127" t="s">
        <v>84</v>
      </c>
      <c r="E858" s="127">
        <v>2</v>
      </c>
      <c r="F858" s="127">
        <v>2</v>
      </c>
      <c r="G858" s="130" t="s">
        <v>87</v>
      </c>
    </row>
    <row r="859" spans="2:7" x14ac:dyDescent="0.25">
      <c r="B859" s="126" t="s">
        <v>77</v>
      </c>
      <c r="C859" s="127">
        <v>28</v>
      </c>
      <c r="D859" s="127" t="s">
        <v>81</v>
      </c>
      <c r="E859" s="127">
        <v>1</v>
      </c>
      <c r="F859" s="127">
        <v>0</v>
      </c>
      <c r="G859" s="130" t="s">
        <v>83</v>
      </c>
    </row>
    <row r="860" spans="2:7" x14ac:dyDescent="0.25">
      <c r="B860" s="126" t="s">
        <v>77</v>
      </c>
      <c r="C860" s="127">
        <v>28</v>
      </c>
      <c r="D860" s="127" t="s">
        <v>161</v>
      </c>
      <c r="E860" s="127">
        <v>2</v>
      </c>
      <c r="F860" s="127">
        <v>3</v>
      </c>
      <c r="G860" s="130" t="s">
        <v>82</v>
      </c>
    </row>
    <row r="861" spans="2:7" x14ac:dyDescent="0.25">
      <c r="B861" s="126" t="s">
        <v>77</v>
      </c>
      <c r="C861" s="127">
        <v>28</v>
      </c>
      <c r="D861" s="127" t="s">
        <v>91</v>
      </c>
      <c r="E861" s="127">
        <v>1</v>
      </c>
      <c r="F861" s="127">
        <v>0</v>
      </c>
      <c r="G861" s="130" t="s">
        <v>90</v>
      </c>
    </row>
    <row r="862" spans="2:7" x14ac:dyDescent="0.25">
      <c r="B862" s="126" t="s">
        <v>77</v>
      </c>
      <c r="C862" s="127">
        <v>28</v>
      </c>
      <c r="D862" s="127" t="s">
        <v>93</v>
      </c>
      <c r="E862" s="127">
        <v>4</v>
      </c>
      <c r="F862" s="127">
        <v>1</v>
      </c>
      <c r="G862" s="130" t="s">
        <v>85</v>
      </c>
    </row>
    <row r="863" spans="2:7" x14ac:dyDescent="0.25">
      <c r="B863" s="126" t="s">
        <v>77</v>
      </c>
      <c r="C863" s="127">
        <v>28</v>
      </c>
      <c r="D863" s="127" t="s">
        <v>173</v>
      </c>
      <c r="E863" s="127">
        <v>2</v>
      </c>
      <c r="F863" s="127">
        <v>1</v>
      </c>
      <c r="G863" s="130" t="s">
        <v>86</v>
      </c>
    </row>
    <row r="864" spans="2:7" x14ac:dyDescent="0.25">
      <c r="B864" s="126" t="s">
        <v>77</v>
      </c>
      <c r="C864" s="127">
        <v>28</v>
      </c>
      <c r="D864" s="127" t="s">
        <v>79</v>
      </c>
      <c r="E864" s="127">
        <v>4</v>
      </c>
      <c r="F864" s="127">
        <v>1</v>
      </c>
      <c r="G864" s="130" t="s">
        <v>80</v>
      </c>
    </row>
    <row r="865" spans="2:7" x14ac:dyDescent="0.25">
      <c r="B865" s="126" t="s">
        <v>77</v>
      </c>
      <c r="C865" s="127">
        <v>28</v>
      </c>
      <c r="D865" s="127" t="s">
        <v>88</v>
      </c>
      <c r="E865" s="127">
        <v>2</v>
      </c>
      <c r="F865" s="127">
        <v>0</v>
      </c>
      <c r="G865" s="130" t="s">
        <v>92</v>
      </c>
    </row>
    <row r="866" spans="2:7" x14ac:dyDescent="0.25">
      <c r="B866" s="126" t="s">
        <v>77</v>
      </c>
      <c r="C866" s="127">
        <v>28</v>
      </c>
      <c r="D866" s="127" t="s">
        <v>140</v>
      </c>
      <c r="E866" s="127">
        <v>3</v>
      </c>
      <c r="F866" s="127">
        <v>2</v>
      </c>
      <c r="G866" s="130" t="s">
        <v>139</v>
      </c>
    </row>
    <row r="867" spans="2:7" x14ac:dyDescent="0.25">
      <c r="B867" s="126" t="s">
        <v>77</v>
      </c>
      <c r="C867" s="127">
        <v>29</v>
      </c>
      <c r="D867" s="127" t="s">
        <v>86</v>
      </c>
      <c r="E867" s="127">
        <v>5</v>
      </c>
      <c r="F867" s="127">
        <v>3</v>
      </c>
      <c r="G867" s="130" t="s">
        <v>82</v>
      </c>
    </row>
    <row r="868" spans="2:7" x14ac:dyDescent="0.25">
      <c r="B868" s="126" t="s">
        <v>77</v>
      </c>
      <c r="C868" s="127">
        <v>29</v>
      </c>
      <c r="D868" s="127" t="s">
        <v>90</v>
      </c>
      <c r="E868" s="127">
        <v>1</v>
      </c>
      <c r="F868" s="127">
        <v>0</v>
      </c>
      <c r="G868" s="130" t="s">
        <v>88</v>
      </c>
    </row>
    <row r="869" spans="2:7" x14ac:dyDescent="0.25">
      <c r="B869" s="126" t="s">
        <v>77</v>
      </c>
      <c r="C869" s="127">
        <v>29</v>
      </c>
      <c r="D869" s="127" t="s">
        <v>92</v>
      </c>
      <c r="E869" s="127">
        <v>2</v>
      </c>
      <c r="F869" s="127">
        <v>1</v>
      </c>
      <c r="G869" s="130" t="s">
        <v>161</v>
      </c>
    </row>
    <row r="870" spans="2:7" x14ac:dyDescent="0.25">
      <c r="B870" s="126" t="s">
        <v>77</v>
      </c>
      <c r="C870" s="127">
        <v>29</v>
      </c>
      <c r="D870" s="127" t="s">
        <v>85</v>
      </c>
      <c r="E870" s="127">
        <v>3</v>
      </c>
      <c r="F870" s="127">
        <v>0</v>
      </c>
      <c r="G870" s="130" t="s">
        <v>140</v>
      </c>
    </row>
    <row r="871" spans="2:7" x14ac:dyDescent="0.25">
      <c r="B871" s="126" t="s">
        <v>77</v>
      </c>
      <c r="C871" s="127">
        <v>29</v>
      </c>
      <c r="D871" s="127" t="s">
        <v>80</v>
      </c>
      <c r="E871" s="127">
        <v>3</v>
      </c>
      <c r="F871" s="127">
        <v>1</v>
      </c>
      <c r="G871" s="130" t="s">
        <v>84</v>
      </c>
    </row>
    <row r="872" spans="2:7" x14ac:dyDescent="0.25">
      <c r="B872" s="126" t="s">
        <v>77</v>
      </c>
      <c r="C872" s="127">
        <v>29</v>
      </c>
      <c r="D872" s="127" t="s">
        <v>81</v>
      </c>
      <c r="E872" s="127">
        <v>4</v>
      </c>
      <c r="F872" s="127">
        <v>0</v>
      </c>
      <c r="G872" s="130" t="s">
        <v>91</v>
      </c>
    </row>
    <row r="873" spans="2:7" x14ac:dyDescent="0.25">
      <c r="B873" s="126" t="s">
        <v>77</v>
      </c>
      <c r="C873" s="127">
        <v>29</v>
      </c>
      <c r="D873" s="127" t="s">
        <v>83</v>
      </c>
      <c r="E873" s="127">
        <v>0</v>
      </c>
      <c r="F873" s="127">
        <v>0</v>
      </c>
      <c r="G873" s="130" t="s">
        <v>79</v>
      </c>
    </row>
    <row r="874" spans="2:7" x14ac:dyDescent="0.25">
      <c r="B874" s="126" t="s">
        <v>77</v>
      </c>
      <c r="C874" s="127">
        <v>29</v>
      </c>
      <c r="D874" s="127" t="s">
        <v>87</v>
      </c>
      <c r="E874" s="127">
        <v>2</v>
      </c>
      <c r="F874" s="127">
        <v>1</v>
      </c>
      <c r="G874" s="130" t="s">
        <v>173</v>
      </c>
    </row>
    <row r="875" spans="2:7" x14ac:dyDescent="0.25">
      <c r="B875" s="126" t="s">
        <v>77</v>
      </c>
      <c r="C875" s="127">
        <v>29</v>
      </c>
      <c r="D875" s="127" t="s">
        <v>139</v>
      </c>
      <c r="E875" s="127">
        <v>2</v>
      </c>
      <c r="F875" s="127">
        <v>1</v>
      </c>
      <c r="G875" s="130" t="s">
        <v>93</v>
      </c>
    </row>
    <row r="876" spans="2:7" x14ac:dyDescent="0.25">
      <c r="B876" s="126" t="s">
        <v>77</v>
      </c>
      <c r="C876" s="127">
        <v>30</v>
      </c>
      <c r="D876" s="127" t="s">
        <v>161</v>
      </c>
      <c r="E876" s="127">
        <v>1</v>
      </c>
      <c r="F876" s="127">
        <v>1</v>
      </c>
      <c r="G876" s="130" t="s">
        <v>86</v>
      </c>
    </row>
    <row r="877" spans="2:7" x14ac:dyDescent="0.25">
      <c r="B877" s="126" t="s">
        <v>77</v>
      </c>
      <c r="C877" s="127">
        <v>30</v>
      </c>
      <c r="D877" s="127" t="s">
        <v>79</v>
      </c>
      <c r="E877" s="127">
        <v>2</v>
      </c>
      <c r="F877" s="127">
        <v>2</v>
      </c>
      <c r="G877" s="130" t="s">
        <v>90</v>
      </c>
    </row>
    <row r="878" spans="2:7" x14ac:dyDescent="0.25">
      <c r="B878" s="126" t="s">
        <v>77</v>
      </c>
      <c r="C878" s="127">
        <v>30</v>
      </c>
      <c r="D878" s="127" t="s">
        <v>88</v>
      </c>
      <c r="E878" s="127">
        <v>1</v>
      </c>
      <c r="F878" s="127">
        <v>0</v>
      </c>
      <c r="G878" s="130" t="s">
        <v>85</v>
      </c>
    </row>
    <row r="879" spans="2:7" x14ac:dyDescent="0.25">
      <c r="B879" s="126" t="s">
        <v>77</v>
      </c>
      <c r="C879" s="127">
        <v>30</v>
      </c>
      <c r="D879" s="127" t="s">
        <v>84</v>
      </c>
      <c r="E879" s="127">
        <v>3</v>
      </c>
      <c r="F879" s="127">
        <v>1</v>
      </c>
      <c r="G879" s="130" t="s">
        <v>92</v>
      </c>
    </row>
    <row r="880" spans="2:7" x14ac:dyDescent="0.25">
      <c r="B880" s="126" t="s">
        <v>77</v>
      </c>
      <c r="C880" s="127">
        <v>30</v>
      </c>
      <c r="D880" s="127" t="s">
        <v>140</v>
      </c>
      <c r="E880" s="127">
        <v>2</v>
      </c>
      <c r="F880" s="127">
        <v>4</v>
      </c>
      <c r="G880" s="130" t="s">
        <v>87</v>
      </c>
    </row>
    <row r="881" spans="2:7" x14ac:dyDescent="0.25">
      <c r="B881" s="126" t="s">
        <v>77</v>
      </c>
      <c r="C881" s="127">
        <v>30</v>
      </c>
      <c r="D881" s="127" t="s">
        <v>173</v>
      </c>
      <c r="E881" s="127">
        <v>1</v>
      </c>
      <c r="F881" s="127">
        <v>2</v>
      </c>
      <c r="G881" s="130" t="s">
        <v>139</v>
      </c>
    </row>
    <row r="882" spans="2:7" x14ac:dyDescent="0.25">
      <c r="B882" s="126" t="s">
        <v>77</v>
      </c>
      <c r="C882" s="127">
        <v>30</v>
      </c>
      <c r="D882" s="127" t="s">
        <v>82</v>
      </c>
      <c r="E882" s="127">
        <v>2</v>
      </c>
      <c r="F882" s="127">
        <v>3</v>
      </c>
      <c r="G882" s="130" t="s">
        <v>80</v>
      </c>
    </row>
    <row r="883" spans="2:7" x14ac:dyDescent="0.25">
      <c r="B883" s="126" t="s">
        <v>77</v>
      </c>
      <c r="C883" s="127">
        <v>30</v>
      </c>
      <c r="D883" s="127" t="s">
        <v>91</v>
      </c>
      <c r="E883" s="127">
        <v>2</v>
      </c>
      <c r="F883" s="127">
        <v>1</v>
      </c>
      <c r="G883" s="130" t="s">
        <v>83</v>
      </c>
    </row>
    <row r="884" spans="2:7" x14ac:dyDescent="0.25">
      <c r="B884" s="126" t="s">
        <v>77</v>
      </c>
      <c r="C884" s="127">
        <v>30</v>
      </c>
      <c r="D884" s="127" t="s">
        <v>93</v>
      </c>
      <c r="E884" s="127">
        <v>1</v>
      </c>
      <c r="F884" s="127">
        <v>1</v>
      </c>
      <c r="G884" s="130" t="s">
        <v>81</v>
      </c>
    </row>
    <row r="885" spans="2:7" x14ac:dyDescent="0.25">
      <c r="B885" s="126" t="s">
        <v>77</v>
      </c>
      <c r="C885" s="127">
        <v>31</v>
      </c>
      <c r="D885" s="127" t="s">
        <v>83</v>
      </c>
      <c r="E885" s="127">
        <v>1</v>
      </c>
      <c r="F885" s="127">
        <v>4</v>
      </c>
      <c r="G885" s="130" t="s">
        <v>93</v>
      </c>
    </row>
    <row r="886" spans="2:7" x14ac:dyDescent="0.25">
      <c r="B886" s="126" t="s">
        <v>77</v>
      </c>
      <c r="C886" s="127">
        <v>31</v>
      </c>
      <c r="D886" s="127" t="s">
        <v>90</v>
      </c>
      <c r="E886" s="127">
        <v>1</v>
      </c>
      <c r="F886" s="127">
        <v>2</v>
      </c>
      <c r="G886" s="130" t="s">
        <v>82</v>
      </c>
    </row>
    <row r="887" spans="2:7" x14ac:dyDescent="0.25">
      <c r="B887" s="126" t="s">
        <v>77</v>
      </c>
      <c r="C887" s="127">
        <v>31</v>
      </c>
      <c r="D887" s="127" t="s">
        <v>87</v>
      </c>
      <c r="E887" s="127">
        <v>2</v>
      </c>
      <c r="F887" s="127">
        <v>0</v>
      </c>
      <c r="G887" s="130" t="s">
        <v>88</v>
      </c>
    </row>
    <row r="888" spans="2:7" x14ac:dyDescent="0.25">
      <c r="B888" s="126" t="s">
        <v>77</v>
      </c>
      <c r="C888" s="127">
        <v>31</v>
      </c>
      <c r="D888" s="127" t="s">
        <v>80</v>
      </c>
      <c r="E888" s="127">
        <v>0</v>
      </c>
      <c r="F888" s="127">
        <v>0</v>
      </c>
      <c r="G888" s="130" t="s">
        <v>161</v>
      </c>
    </row>
    <row r="889" spans="2:7" x14ac:dyDescent="0.25">
      <c r="B889" s="126" t="s">
        <v>77</v>
      </c>
      <c r="C889" s="127">
        <v>31</v>
      </c>
      <c r="D889" s="127" t="s">
        <v>81</v>
      </c>
      <c r="E889" s="127">
        <v>0</v>
      </c>
      <c r="F889" s="127">
        <v>0</v>
      </c>
      <c r="G889" s="130" t="s">
        <v>140</v>
      </c>
    </row>
    <row r="890" spans="2:7" x14ac:dyDescent="0.25">
      <c r="B890" s="126" t="s">
        <v>77</v>
      </c>
      <c r="C890" s="127">
        <v>31</v>
      </c>
      <c r="D890" s="127" t="s">
        <v>139</v>
      </c>
      <c r="E890" s="127">
        <v>3</v>
      </c>
      <c r="F890" s="127">
        <v>0</v>
      </c>
      <c r="G890" s="130" t="s">
        <v>91</v>
      </c>
    </row>
    <row r="891" spans="2:7" x14ac:dyDescent="0.25">
      <c r="B891" s="126" t="s">
        <v>77</v>
      </c>
      <c r="C891" s="127">
        <v>31</v>
      </c>
      <c r="D891" s="127" t="s">
        <v>85</v>
      </c>
      <c r="E891" s="127">
        <v>0</v>
      </c>
      <c r="F891" s="127">
        <v>6</v>
      </c>
      <c r="G891" s="130" t="s">
        <v>79</v>
      </c>
    </row>
    <row r="892" spans="2:7" x14ac:dyDescent="0.25">
      <c r="B892" s="126" t="s">
        <v>77</v>
      </c>
      <c r="C892" s="127">
        <v>31</v>
      </c>
      <c r="D892" s="127" t="s">
        <v>92</v>
      </c>
      <c r="E892" s="127">
        <v>4</v>
      </c>
      <c r="F892" s="127">
        <v>0</v>
      </c>
      <c r="G892" s="130" t="s">
        <v>173</v>
      </c>
    </row>
    <row r="893" spans="2:7" x14ac:dyDescent="0.25">
      <c r="B893" s="126" t="s">
        <v>77</v>
      </c>
      <c r="C893" s="127">
        <v>31</v>
      </c>
      <c r="D893" s="127" t="s">
        <v>86</v>
      </c>
      <c r="E893" s="127">
        <v>1</v>
      </c>
      <c r="F893" s="127">
        <v>0</v>
      </c>
      <c r="G893" s="130" t="s">
        <v>84</v>
      </c>
    </row>
    <row r="894" spans="2:7" x14ac:dyDescent="0.25">
      <c r="B894" s="126" t="s">
        <v>77</v>
      </c>
      <c r="C894" s="127">
        <v>32</v>
      </c>
      <c r="D894" s="127" t="s">
        <v>161</v>
      </c>
      <c r="E894" s="127">
        <v>4</v>
      </c>
      <c r="F894" s="127">
        <v>3</v>
      </c>
      <c r="G894" s="130" t="s">
        <v>87</v>
      </c>
    </row>
    <row r="895" spans="2:7" x14ac:dyDescent="0.25">
      <c r="B895" s="126" t="s">
        <v>77</v>
      </c>
      <c r="C895" s="127">
        <v>32</v>
      </c>
      <c r="D895" s="127" t="s">
        <v>140</v>
      </c>
      <c r="E895" s="127">
        <v>1</v>
      </c>
      <c r="F895" s="127">
        <v>1</v>
      </c>
      <c r="G895" s="130" t="s">
        <v>83</v>
      </c>
    </row>
    <row r="896" spans="2:7" x14ac:dyDescent="0.25">
      <c r="B896" s="126" t="s">
        <v>77</v>
      </c>
      <c r="C896" s="127">
        <v>32</v>
      </c>
      <c r="D896" s="127" t="s">
        <v>84</v>
      </c>
      <c r="E896" s="127">
        <v>0</v>
      </c>
      <c r="F896" s="127">
        <v>2</v>
      </c>
      <c r="G896" s="130" t="s">
        <v>85</v>
      </c>
    </row>
    <row r="897" spans="2:7" x14ac:dyDescent="0.25">
      <c r="B897" s="126" t="s">
        <v>77</v>
      </c>
      <c r="C897" s="127">
        <v>32</v>
      </c>
      <c r="D897" s="127" t="s">
        <v>82</v>
      </c>
      <c r="E897" s="127">
        <v>1</v>
      </c>
      <c r="F897" s="127">
        <v>1</v>
      </c>
      <c r="G897" s="130" t="s">
        <v>92</v>
      </c>
    </row>
    <row r="898" spans="2:7" x14ac:dyDescent="0.25">
      <c r="B898" s="126" t="s">
        <v>77</v>
      </c>
      <c r="C898" s="127">
        <v>32</v>
      </c>
      <c r="D898" s="127" t="s">
        <v>79</v>
      </c>
      <c r="E898" s="127">
        <v>1</v>
      </c>
      <c r="F898" s="127">
        <v>0</v>
      </c>
      <c r="G898" s="130" t="s">
        <v>139</v>
      </c>
    </row>
    <row r="899" spans="2:7" x14ac:dyDescent="0.25">
      <c r="B899" s="126" t="s">
        <v>77</v>
      </c>
      <c r="C899" s="127">
        <v>32</v>
      </c>
      <c r="D899" s="127" t="s">
        <v>80</v>
      </c>
      <c r="E899" s="127">
        <v>2</v>
      </c>
      <c r="F899" s="127">
        <v>1</v>
      </c>
      <c r="G899" s="130" t="s">
        <v>86</v>
      </c>
    </row>
    <row r="900" spans="2:7" x14ac:dyDescent="0.25">
      <c r="B900" s="126" t="s">
        <v>77</v>
      </c>
      <c r="C900" s="127">
        <v>32</v>
      </c>
      <c r="D900" s="127" t="s">
        <v>88</v>
      </c>
      <c r="E900" s="127">
        <v>1</v>
      </c>
      <c r="F900" s="127">
        <v>4</v>
      </c>
      <c r="G900" s="130" t="s">
        <v>81</v>
      </c>
    </row>
    <row r="901" spans="2:7" x14ac:dyDescent="0.25">
      <c r="B901" s="126" t="s">
        <v>77</v>
      </c>
      <c r="C901" s="127">
        <v>32</v>
      </c>
      <c r="D901" s="127" t="s">
        <v>173</v>
      </c>
      <c r="E901" s="127">
        <v>0</v>
      </c>
      <c r="F901" s="127">
        <v>0</v>
      </c>
      <c r="G901" s="130" t="s">
        <v>90</v>
      </c>
    </row>
    <row r="902" spans="2:7" x14ac:dyDescent="0.25">
      <c r="B902" s="126" t="s">
        <v>77</v>
      </c>
      <c r="C902" s="127">
        <v>32</v>
      </c>
      <c r="D902" s="127" t="s">
        <v>91</v>
      </c>
      <c r="E902" s="127">
        <v>2</v>
      </c>
      <c r="F902" s="127">
        <v>0</v>
      </c>
      <c r="G902" s="130" t="s">
        <v>93</v>
      </c>
    </row>
    <row r="903" spans="2:7" x14ac:dyDescent="0.25">
      <c r="B903" s="126" t="s">
        <v>77</v>
      </c>
      <c r="C903" s="127">
        <v>33</v>
      </c>
      <c r="D903" s="127" t="s">
        <v>81</v>
      </c>
      <c r="E903" s="127">
        <v>4</v>
      </c>
      <c r="F903" s="127">
        <v>5</v>
      </c>
      <c r="G903" s="130" t="s">
        <v>79</v>
      </c>
    </row>
    <row r="904" spans="2:7" x14ac:dyDescent="0.25">
      <c r="B904" s="126" t="s">
        <v>77</v>
      </c>
      <c r="C904" s="127">
        <v>33</v>
      </c>
      <c r="D904" s="127" t="s">
        <v>92</v>
      </c>
      <c r="E904" s="127">
        <v>1</v>
      </c>
      <c r="F904" s="127">
        <v>1</v>
      </c>
      <c r="G904" s="130" t="s">
        <v>80</v>
      </c>
    </row>
    <row r="905" spans="2:7" x14ac:dyDescent="0.25">
      <c r="B905" s="126" t="s">
        <v>77</v>
      </c>
      <c r="C905" s="127">
        <v>33</v>
      </c>
      <c r="D905" s="127" t="s">
        <v>85</v>
      </c>
      <c r="E905" s="127">
        <v>1</v>
      </c>
      <c r="F905" s="127">
        <v>1</v>
      </c>
      <c r="G905" s="130" t="s">
        <v>82</v>
      </c>
    </row>
    <row r="906" spans="2:7" x14ac:dyDescent="0.25">
      <c r="B906" s="126" t="s">
        <v>77</v>
      </c>
      <c r="C906" s="127">
        <v>33</v>
      </c>
      <c r="D906" s="127" t="s">
        <v>139</v>
      </c>
      <c r="E906" s="127">
        <v>0</v>
      </c>
      <c r="F906" s="127">
        <v>2</v>
      </c>
      <c r="G906" s="130" t="s">
        <v>88</v>
      </c>
    </row>
    <row r="907" spans="2:7" x14ac:dyDescent="0.25">
      <c r="B907" s="126" t="s">
        <v>77</v>
      </c>
      <c r="C907" s="127">
        <v>33</v>
      </c>
      <c r="D907" s="127" t="s">
        <v>83</v>
      </c>
      <c r="E907" s="127">
        <v>2</v>
      </c>
      <c r="F907" s="127">
        <v>2</v>
      </c>
      <c r="G907" s="130" t="s">
        <v>161</v>
      </c>
    </row>
    <row r="908" spans="2:7" x14ac:dyDescent="0.25">
      <c r="B908" s="126" t="s">
        <v>77</v>
      </c>
      <c r="C908" s="127">
        <v>33</v>
      </c>
      <c r="D908" s="127" t="s">
        <v>93</v>
      </c>
      <c r="E908" s="127">
        <v>1</v>
      </c>
      <c r="F908" s="127">
        <v>1</v>
      </c>
      <c r="G908" s="130" t="s">
        <v>173</v>
      </c>
    </row>
    <row r="909" spans="2:7" x14ac:dyDescent="0.25">
      <c r="B909" s="126" t="s">
        <v>77</v>
      </c>
      <c r="C909" s="127">
        <v>33</v>
      </c>
      <c r="D909" s="127" t="s">
        <v>91</v>
      </c>
      <c r="E909" s="127">
        <v>1</v>
      </c>
      <c r="F909" s="127">
        <v>1</v>
      </c>
      <c r="G909" s="130" t="s">
        <v>140</v>
      </c>
    </row>
    <row r="910" spans="2:7" x14ac:dyDescent="0.25">
      <c r="B910" s="126" t="s">
        <v>77</v>
      </c>
      <c r="C910" s="127">
        <v>33</v>
      </c>
      <c r="D910" s="127" t="s">
        <v>87</v>
      </c>
      <c r="E910" s="127">
        <v>3</v>
      </c>
      <c r="F910" s="127">
        <v>5</v>
      </c>
      <c r="G910" s="130" t="s">
        <v>86</v>
      </c>
    </row>
    <row r="911" spans="2:7" x14ac:dyDescent="0.25">
      <c r="B911" s="126" t="s">
        <v>77</v>
      </c>
      <c r="C911" s="127">
        <v>33</v>
      </c>
      <c r="D911" s="127" t="s">
        <v>90</v>
      </c>
      <c r="E911" s="127">
        <v>4</v>
      </c>
      <c r="F911" s="127">
        <v>2</v>
      </c>
      <c r="G911" s="130" t="s">
        <v>84</v>
      </c>
    </row>
    <row r="912" spans="2:7" x14ac:dyDescent="0.25">
      <c r="B912" s="126" t="s">
        <v>77</v>
      </c>
      <c r="C912" s="127">
        <v>34</v>
      </c>
      <c r="D912" s="127" t="s">
        <v>88</v>
      </c>
      <c r="E912" s="127">
        <v>2</v>
      </c>
      <c r="F912" s="127">
        <v>6</v>
      </c>
      <c r="G912" s="130" t="s">
        <v>83</v>
      </c>
    </row>
    <row r="913" spans="2:7" x14ac:dyDescent="0.25">
      <c r="B913" s="126" t="s">
        <v>77</v>
      </c>
      <c r="C913" s="127">
        <v>34</v>
      </c>
      <c r="D913" s="127" t="s">
        <v>140</v>
      </c>
      <c r="E913" s="127">
        <v>1</v>
      </c>
      <c r="F913" s="127">
        <v>1</v>
      </c>
      <c r="G913" s="130" t="s">
        <v>93</v>
      </c>
    </row>
    <row r="914" spans="2:7" x14ac:dyDescent="0.25">
      <c r="B914" s="126" t="s">
        <v>77</v>
      </c>
      <c r="C914" s="127">
        <v>34</v>
      </c>
      <c r="D914" s="127" t="s">
        <v>161</v>
      </c>
      <c r="E914" s="127">
        <v>2</v>
      </c>
      <c r="F914" s="127">
        <v>0</v>
      </c>
      <c r="G914" s="130" t="s">
        <v>90</v>
      </c>
    </row>
    <row r="915" spans="2:7" x14ac:dyDescent="0.25">
      <c r="B915" s="126" t="s">
        <v>77</v>
      </c>
      <c r="C915" s="127">
        <v>34</v>
      </c>
      <c r="D915" s="127" t="s">
        <v>173</v>
      </c>
      <c r="E915" s="127">
        <v>2</v>
      </c>
      <c r="F915" s="127">
        <v>1</v>
      </c>
      <c r="G915" s="130" t="s">
        <v>85</v>
      </c>
    </row>
    <row r="916" spans="2:7" x14ac:dyDescent="0.25">
      <c r="B916" s="126" t="s">
        <v>77</v>
      </c>
      <c r="C916" s="127">
        <v>34</v>
      </c>
      <c r="D916" s="127" t="s">
        <v>86</v>
      </c>
      <c r="E916" s="127">
        <v>0</v>
      </c>
      <c r="F916" s="127">
        <v>0</v>
      </c>
      <c r="G916" s="130" t="s">
        <v>92</v>
      </c>
    </row>
    <row r="917" spans="2:7" x14ac:dyDescent="0.25">
      <c r="B917" s="126" t="s">
        <v>77</v>
      </c>
      <c r="C917" s="127">
        <v>34</v>
      </c>
      <c r="D917" s="127" t="s">
        <v>80</v>
      </c>
      <c r="E917" s="127">
        <v>4</v>
      </c>
      <c r="F917" s="127">
        <v>3</v>
      </c>
      <c r="G917" s="130" t="s">
        <v>87</v>
      </c>
    </row>
    <row r="918" spans="2:7" x14ac:dyDescent="0.25">
      <c r="B918" s="126" t="s">
        <v>77</v>
      </c>
      <c r="C918" s="127">
        <v>34</v>
      </c>
      <c r="D918" s="127" t="s">
        <v>82</v>
      </c>
      <c r="E918" s="127">
        <v>2</v>
      </c>
      <c r="F918" s="127">
        <v>2</v>
      </c>
      <c r="G918" s="130" t="s">
        <v>139</v>
      </c>
    </row>
    <row r="919" spans="2:7" x14ac:dyDescent="0.25">
      <c r="B919" s="126" t="s">
        <v>77</v>
      </c>
      <c r="C919" s="127">
        <v>34</v>
      </c>
      <c r="D919" s="127" t="s">
        <v>79</v>
      </c>
      <c r="E919" s="127">
        <v>4</v>
      </c>
      <c r="F919" s="127">
        <v>1</v>
      </c>
      <c r="G919" s="130" t="s">
        <v>91</v>
      </c>
    </row>
    <row r="920" spans="2:7" x14ac:dyDescent="0.25">
      <c r="B920" s="126" t="s">
        <v>77</v>
      </c>
      <c r="C920" s="127">
        <v>34</v>
      </c>
      <c r="D920" s="127" t="s">
        <v>84</v>
      </c>
      <c r="E920" s="127">
        <v>2</v>
      </c>
      <c r="F920" s="127">
        <v>2</v>
      </c>
      <c r="G920" s="130" t="s">
        <v>81</v>
      </c>
    </row>
    <row r="921" spans="2:7" x14ac:dyDescent="0.25">
      <c r="B921" s="126" t="s">
        <v>76</v>
      </c>
      <c r="C921" s="127">
        <v>1</v>
      </c>
      <c r="D921" s="127" t="s">
        <v>79</v>
      </c>
      <c r="E921" s="127">
        <v>3</v>
      </c>
      <c r="F921" s="127">
        <v>1</v>
      </c>
      <c r="G921" s="130" t="s">
        <v>83</v>
      </c>
    </row>
    <row r="922" spans="2:7" x14ac:dyDescent="0.25">
      <c r="B922" s="126" t="s">
        <v>76</v>
      </c>
      <c r="C922" s="127">
        <v>1</v>
      </c>
      <c r="D922" s="127" t="s">
        <v>86</v>
      </c>
      <c r="E922" s="127">
        <v>1</v>
      </c>
      <c r="F922" s="127">
        <v>0</v>
      </c>
      <c r="G922" s="130" t="s">
        <v>87</v>
      </c>
    </row>
    <row r="923" spans="2:7" x14ac:dyDescent="0.25">
      <c r="B923" s="126" t="s">
        <v>76</v>
      </c>
      <c r="C923" s="127">
        <v>1</v>
      </c>
      <c r="D923" s="127" t="s">
        <v>88</v>
      </c>
      <c r="E923" s="127">
        <v>2</v>
      </c>
      <c r="F923" s="127">
        <v>0</v>
      </c>
      <c r="G923" s="130" t="s">
        <v>94</v>
      </c>
    </row>
    <row r="924" spans="2:7" x14ac:dyDescent="0.25">
      <c r="B924" s="126" t="s">
        <v>76</v>
      </c>
      <c r="C924" s="127">
        <v>1</v>
      </c>
      <c r="D924" s="127" t="s">
        <v>173</v>
      </c>
      <c r="E924" s="127">
        <v>1</v>
      </c>
      <c r="F924" s="127">
        <v>0</v>
      </c>
      <c r="G924" s="130" t="s">
        <v>92</v>
      </c>
    </row>
    <row r="925" spans="2:7" x14ac:dyDescent="0.25">
      <c r="B925" s="126" t="s">
        <v>76</v>
      </c>
      <c r="C925" s="127">
        <v>1</v>
      </c>
      <c r="D925" s="127" t="s">
        <v>90</v>
      </c>
      <c r="E925" s="127">
        <v>0</v>
      </c>
      <c r="F925" s="127">
        <v>1</v>
      </c>
      <c r="G925" s="130" t="s">
        <v>172</v>
      </c>
    </row>
    <row r="926" spans="2:7" x14ac:dyDescent="0.25">
      <c r="B926" s="126" t="s">
        <v>76</v>
      </c>
      <c r="C926" s="127">
        <v>1</v>
      </c>
      <c r="D926" s="127" t="s">
        <v>85</v>
      </c>
      <c r="E926" s="127">
        <v>0</v>
      </c>
      <c r="F926" s="127">
        <v>3</v>
      </c>
      <c r="G926" s="130" t="s">
        <v>80</v>
      </c>
    </row>
    <row r="927" spans="2:7" x14ac:dyDescent="0.25">
      <c r="B927" s="126" t="s">
        <v>76</v>
      </c>
      <c r="C927" s="127">
        <v>1</v>
      </c>
      <c r="D927" s="127" t="s">
        <v>93</v>
      </c>
      <c r="E927" s="127">
        <v>2</v>
      </c>
      <c r="F927" s="127">
        <v>0</v>
      </c>
      <c r="G927" s="130" t="s">
        <v>81</v>
      </c>
    </row>
    <row r="928" spans="2:7" x14ac:dyDescent="0.25">
      <c r="B928" s="126" t="s">
        <v>76</v>
      </c>
      <c r="C928" s="127">
        <v>1</v>
      </c>
      <c r="D928" s="127" t="s">
        <v>91</v>
      </c>
      <c r="E928" s="127">
        <v>0</v>
      </c>
      <c r="F928" s="127">
        <v>0</v>
      </c>
      <c r="G928" s="130" t="s">
        <v>84</v>
      </c>
    </row>
    <row r="929" spans="2:7" x14ac:dyDescent="0.25">
      <c r="B929" s="126" t="s">
        <v>76</v>
      </c>
      <c r="C929" s="127">
        <v>1</v>
      </c>
      <c r="D929" s="127" t="s">
        <v>82</v>
      </c>
      <c r="E929" s="127">
        <v>1</v>
      </c>
      <c r="F929" s="127">
        <v>0</v>
      </c>
      <c r="G929" s="130" t="s">
        <v>161</v>
      </c>
    </row>
    <row r="930" spans="2:7" x14ac:dyDescent="0.25">
      <c r="B930" s="126" t="s">
        <v>76</v>
      </c>
      <c r="C930" s="127">
        <v>2</v>
      </c>
      <c r="D930" s="127" t="s">
        <v>161</v>
      </c>
      <c r="E930" s="127">
        <v>1</v>
      </c>
      <c r="F930" s="127">
        <v>3</v>
      </c>
      <c r="G930" s="130" t="s">
        <v>173</v>
      </c>
    </row>
    <row r="931" spans="2:7" x14ac:dyDescent="0.25">
      <c r="B931" s="126" t="s">
        <v>76</v>
      </c>
      <c r="C931" s="127">
        <v>2</v>
      </c>
      <c r="D931" s="127" t="s">
        <v>87</v>
      </c>
      <c r="E931" s="127">
        <v>0</v>
      </c>
      <c r="F931" s="127">
        <v>2</v>
      </c>
      <c r="G931" s="130" t="s">
        <v>79</v>
      </c>
    </row>
    <row r="932" spans="2:7" x14ac:dyDescent="0.25">
      <c r="B932" s="126" t="s">
        <v>76</v>
      </c>
      <c r="C932" s="127">
        <v>2</v>
      </c>
      <c r="D932" s="127" t="s">
        <v>84</v>
      </c>
      <c r="E932" s="127">
        <v>0</v>
      </c>
      <c r="F932" s="127">
        <v>1</v>
      </c>
      <c r="G932" s="130" t="s">
        <v>85</v>
      </c>
    </row>
    <row r="933" spans="2:7" x14ac:dyDescent="0.25">
      <c r="B933" s="126" t="s">
        <v>76</v>
      </c>
      <c r="C933" s="127">
        <v>2</v>
      </c>
      <c r="D933" s="127" t="s">
        <v>83</v>
      </c>
      <c r="E933" s="127">
        <v>2</v>
      </c>
      <c r="F933" s="127">
        <v>2</v>
      </c>
      <c r="G933" s="130" t="s">
        <v>86</v>
      </c>
    </row>
    <row r="934" spans="2:7" x14ac:dyDescent="0.25">
      <c r="B934" s="126" t="s">
        <v>76</v>
      </c>
      <c r="C934" s="127">
        <v>2</v>
      </c>
      <c r="D934" s="127" t="s">
        <v>92</v>
      </c>
      <c r="E934" s="127">
        <v>2</v>
      </c>
      <c r="F934" s="127">
        <v>2</v>
      </c>
      <c r="G934" s="130" t="s">
        <v>82</v>
      </c>
    </row>
    <row r="935" spans="2:7" x14ac:dyDescent="0.25">
      <c r="B935" s="126" t="s">
        <v>76</v>
      </c>
      <c r="C935" s="127">
        <v>2</v>
      </c>
      <c r="D935" s="127" t="s">
        <v>94</v>
      </c>
      <c r="E935" s="127">
        <v>1</v>
      </c>
      <c r="F935" s="127">
        <v>0</v>
      </c>
      <c r="G935" s="130" t="s">
        <v>90</v>
      </c>
    </row>
    <row r="936" spans="2:7" x14ac:dyDescent="0.25">
      <c r="B936" s="126" t="s">
        <v>76</v>
      </c>
      <c r="C936" s="127">
        <v>2</v>
      </c>
      <c r="D936" s="127" t="s">
        <v>80</v>
      </c>
      <c r="E936" s="127">
        <v>2</v>
      </c>
      <c r="F936" s="127">
        <v>0</v>
      </c>
      <c r="G936" s="130" t="s">
        <v>88</v>
      </c>
    </row>
    <row r="937" spans="2:7" x14ac:dyDescent="0.25">
      <c r="B937" s="126" t="s">
        <v>76</v>
      </c>
      <c r="C937" s="127">
        <v>2</v>
      </c>
      <c r="D937" s="127" t="s">
        <v>81</v>
      </c>
      <c r="E937" s="127">
        <v>4</v>
      </c>
      <c r="F937" s="127">
        <v>1</v>
      </c>
      <c r="G937" s="130" t="s">
        <v>91</v>
      </c>
    </row>
    <row r="938" spans="2:7" x14ac:dyDescent="0.25">
      <c r="B938" s="126" t="s">
        <v>76</v>
      </c>
      <c r="C938" s="127">
        <v>2</v>
      </c>
      <c r="D938" s="127" t="s">
        <v>172</v>
      </c>
      <c r="E938" s="127">
        <v>1</v>
      </c>
      <c r="F938" s="127">
        <v>0</v>
      </c>
      <c r="G938" s="130" t="s">
        <v>93</v>
      </c>
    </row>
    <row r="939" spans="2:7" x14ac:dyDescent="0.25">
      <c r="B939" s="126" t="s">
        <v>76</v>
      </c>
      <c r="C939" s="127">
        <v>3</v>
      </c>
      <c r="D939" s="127" t="s">
        <v>173</v>
      </c>
      <c r="E939" s="127">
        <v>0</v>
      </c>
      <c r="F939" s="127">
        <v>2</v>
      </c>
      <c r="G939" s="130" t="s">
        <v>81</v>
      </c>
    </row>
    <row r="940" spans="2:7" x14ac:dyDescent="0.25">
      <c r="B940" s="126" t="s">
        <v>76</v>
      </c>
      <c r="C940" s="127">
        <v>3</v>
      </c>
      <c r="D940" s="127" t="s">
        <v>91</v>
      </c>
      <c r="E940" s="127">
        <v>0</v>
      </c>
      <c r="F940" s="127">
        <v>0</v>
      </c>
      <c r="G940" s="130" t="s">
        <v>80</v>
      </c>
    </row>
    <row r="941" spans="2:7" x14ac:dyDescent="0.25">
      <c r="B941" s="126" t="s">
        <v>76</v>
      </c>
      <c r="C941" s="127">
        <v>3</v>
      </c>
      <c r="D941" s="127" t="s">
        <v>82</v>
      </c>
      <c r="E941" s="127">
        <v>0</v>
      </c>
      <c r="F941" s="127">
        <v>1</v>
      </c>
      <c r="G941" s="130" t="s">
        <v>84</v>
      </c>
    </row>
    <row r="942" spans="2:7" x14ac:dyDescent="0.25">
      <c r="B942" s="126" t="s">
        <v>76</v>
      </c>
      <c r="C942" s="127">
        <v>3</v>
      </c>
      <c r="D942" s="127" t="s">
        <v>92</v>
      </c>
      <c r="E942" s="127">
        <v>3</v>
      </c>
      <c r="F942" s="127">
        <v>0</v>
      </c>
      <c r="G942" s="130" t="s">
        <v>161</v>
      </c>
    </row>
    <row r="943" spans="2:7" x14ac:dyDescent="0.25">
      <c r="B943" s="126" t="s">
        <v>76</v>
      </c>
      <c r="C943" s="127">
        <v>3</v>
      </c>
      <c r="D943" s="127" t="s">
        <v>90</v>
      </c>
      <c r="E943" s="127">
        <v>3</v>
      </c>
      <c r="F943" s="127">
        <v>1</v>
      </c>
      <c r="G943" s="130" t="s">
        <v>83</v>
      </c>
    </row>
    <row r="944" spans="2:7" x14ac:dyDescent="0.25">
      <c r="B944" s="126" t="s">
        <v>76</v>
      </c>
      <c r="C944" s="127">
        <v>3</v>
      </c>
      <c r="D944" s="127" t="s">
        <v>85</v>
      </c>
      <c r="E944" s="127">
        <v>1</v>
      </c>
      <c r="F944" s="127">
        <v>1</v>
      </c>
      <c r="G944" s="130" t="s">
        <v>172</v>
      </c>
    </row>
    <row r="945" spans="2:7" x14ac:dyDescent="0.25">
      <c r="B945" s="126" t="s">
        <v>76</v>
      </c>
      <c r="C945" s="127">
        <v>3</v>
      </c>
      <c r="D945" s="127" t="s">
        <v>86</v>
      </c>
      <c r="E945" s="127">
        <v>2</v>
      </c>
      <c r="F945" s="127">
        <v>0</v>
      </c>
      <c r="G945" s="130" t="s">
        <v>79</v>
      </c>
    </row>
    <row r="946" spans="2:7" x14ac:dyDescent="0.25">
      <c r="B946" s="126" t="s">
        <v>76</v>
      </c>
      <c r="C946" s="127">
        <v>3</v>
      </c>
      <c r="D946" s="127" t="s">
        <v>88</v>
      </c>
      <c r="E946" s="127">
        <v>1</v>
      </c>
      <c r="F946" s="127">
        <v>1</v>
      </c>
      <c r="G946" s="130" t="s">
        <v>87</v>
      </c>
    </row>
    <row r="947" spans="2:7" x14ac:dyDescent="0.25">
      <c r="B947" s="126" t="s">
        <v>76</v>
      </c>
      <c r="C947" s="127">
        <v>3</v>
      </c>
      <c r="D947" s="127" t="s">
        <v>93</v>
      </c>
      <c r="E947" s="127">
        <v>3</v>
      </c>
      <c r="F947" s="127">
        <v>1</v>
      </c>
      <c r="G947" s="130" t="s">
        <v>94</v>
      </c>
    </row>
    <row r="948" spans="2:7" x14ac:dyDescent="0.25">
      <c r="B948" s="126" t="s">
        <v>76</v>
      </c>
      <c r="C948" s="127">
        <v>4</v>
      </c>
      <c r="D948" s="127" t="s">
        <v>172</v>
      </c>
      <c r="E948" s="127">
        <v>2</v>
      </c>
      <c r="F948" s="127">
        <v>0</v>
      </c>
      <c r="G948" s="130" t="s">
        <v>173</v>
      </c>
    </row>
    <row r="949" spans="2:7" x14ac:dyDescent="0.25">
      <c r="B949" s="126" t="s">
        <v>76</v>
      </c>
      <c r="C949" s="127">
        <v>4</v>
      </c>
      <c r="D949" s="127" t="s">
        <v>79</v>
      </c>
      <c r="E949" s="127">
        <v>4</v>
      </c>
      <c r="F949" s="127">
        <v>0</v>
      </c>
      <c r="G949" s="130" t="s">
        <v>90</v>
      </c>
    </row>
    <row r="950" spans="2:7" x14ac:dyDescent="0.25">
      <c r="B950" s="126" t="s">
        <v>76</v>
      </c>
      <c r="C950" s="127">
        <v>4</v>
      </c>
      <c r="D950" s="127" t="s">
        <v>87</v>
      </c>
      <c r="E950" s="127">
        <v>1</v>
      </c>
      <c r="F950" s="127">
        <v>2</v>
      </c>
      <c r="G950" s="130" t="s">
        <v>93</v>
      </c>
    </row>
    <row r="951" spans="2:7" x14ac:dyDescent="0.25">
      <c r="B951" s="126" t="s">
        <v>76</v>
      </c>
      <c r="C951" s="127">
        <v>4</v>
      </c>
      <c r="D951" s="127" t="s">
        <v>84</v>
      </c>
      <c r="E951" s="127">
        <v>1</v>
      </c>
      <c r="F951" s="127">
        <v>2</v>
      </c>
      <c r="G951" s="130" t="s">
        <v>92</v>
      </c>
    </row>
    <row r="952" spans="2:7" x14ac:dyDescent="0.25">
      <c r="B952" s="126" t="s">
        <v>76</v>
      </c>
      <c r="C952" s="127">
        <v>4</v>
      </c>
      <c r="D952" s="127" t="s">
        <v>94</v>
      </c>
      <c r="E952" s="127">
        <v>1</v>
      </c>
      <c r="F952" s="127">
        <v>0</v>
      </c>
      <c r="G952" s="130" t="s">
        <v>85</v>
      </c>
    </row>
    <row r="953" spans="2:7" x14ac:dyDescent="0.25">
      <c r="B953" s="126" t="s">
        <v>76</v>
      </c>
      <c r="C953" s="127">
        <v>4</v>
      </c>
      <c r="D953" s="127" t="s">
        <v>81</v>
      </c>
      <c r="E953" s="127">
        <v>2</v>
      </c>
      <c r="F953" s="127">
        <v>2</v>
      </c>
      <c r="G953" s="130" t="s">
        <v>82</v>
      </c>
    </row>
    <row r="954" spans="2:7" x14ac:dyDescent="0.25">
      <c r="B954" s="126" t="s">
        <v>76</v>
      </c>
      <c r="C954" s="127">
        <v>4</v>
      </c>
      <c r="D954" s="127" t="s">
        <v>86</v>
      </c>
      <c r="E954" s="127">
        <v>1</v>
      </c>
      <c r="F954" s="127">
        <v>1</v>
      </c>
      <c r="G954" s="130" t="s">
        <v>88</v>
      </c>
    </row>
    <row r="955" spans="2:7" x14ac:dyDescent="0.25">
      <c r="B955" s="126" t="s">
        <v>76</v>
      </c>
      <c r="C955" s="127">
        <v>4</v>
      </c>
      <c r="D955" s="127" t="s">
        <v>83</v>
      </c>
      <c r="E955" s="127">
        <v>4</v>
      </c>
      <c r="F955" s="127">
        <v>0</v>
      </c>
      <c r="G955" s="130" t="s">
        <v>91</v>
      </c>
    </row>
    <row r="956" spans="2:7" x14ac:dyDescent="0.25">
      <c r="B956" s="126" t="s">
        <v>76</v>
      </c>
      <c r="C956" s="127">
        <v>4</v>
      </c>
      <c r="D956" s="127" t="s">
        <v>80</v>
      </c>
      <c r="E956" s="127">
        <v>5</v>
      </c>
      <c r="F956" s="127">
        <v>0</v>
      </c>
      <c r="G956" s="130" t="s">
        <v>161</v>
      </c>
    </row>
    <row r="957" spans="2:7" x14ac:dyDescent="0.25">
      <c r="B957" s="126" t="s">
        <v>76</v>
      </c>
      <c r="C957" s="127">
        <v>5</v>
      </c>
      <c r="D957" s="127" t="s">
        <v>82</v>
      </c>
      <c r="E957" s="127">
        <v>2</v>
      </c>
      <c r="F957" s="127">
        <v>0</v>
      </c>
      <c r="G957" s="130" t="s">
        <v>94</v>
      </c>
    </row>
    <row r="958" spans="2:7" x14ac:dyDescent="0.25">
      <c r="B958" s="126" t="s">
        <v>76</v>
      </c>
      <c r="C958" s="127">
        <v>5</v>
      </c>
      <c r="D958" s="127" t="s">
        <v>93</v>
      </c>
      <c r="E958" s="127">
        <v>0</v>
      </c>
      <c r="F958" s="127">
        <v>0</v>
      </c>
      <c r="G958" s="130" t="s">
        <v>79</v>
      </c>
    </row>
    <row r="959" spans="2:7" x14ac:dyDescent="0.25">
      <c r="B959" s="126" t="s">
        <v>76</v>
      </c>
      <c r="C959" s="127">
        <v>5</v>
      </c>
      <c r="D959" s="127" t="s">
        <v>92</v>
      </c>
      <c r="E959" s="127">
        <v>1</v>
      </c>
      <c r="F959" s="127">
        <v>3</v>
      </c>
      <c r="G959" s="130" t="s">
        <v>81</v>
      </c>
    </row>
    <row r="960" spans="2:7" x14ac:dyDescent="0.25">
      <c r="B960" s="126" t="s">
        <v>76</v>
      </c>
      <c r="C960" s="127">
        <v>5</v>
      </c>
      <c r="D960" s="127" t="s">
        <v>85</v>
      </c>
      <c r="E960" s="127">
        <v>1</v>
      </c>
      <c r="F960" s="127">
        <v>0</v>
      </c>
      <c r="G960" s="130" t="s">
        <v>87</v>
      </c>
    </row>
    <row r="961" spans="2:7" x14ac:dyDescent="0.25">
      <c r="B961" s="126" t="s">
        <v>76</v>
      </c>
      <c r="C961" s="127">
        <v>5</v>
      </c>
      <c r="D961" s="127" t="s">
        <v>161</v>
      </c>
      <c r="E961" s="127">
        <v>0</v>
      </c>
      <c r="F961" s="127">
        <v>1</v>
      </c>
      <c r="G961" s="130" t="s">
        <v>84</v>
      </c>
    </row>
    <row r="962" spans="2:7" x14ac:dyDescent="0.25">
      <c r="B962" s="126" t="s">
        <v>76</v>
      </c>
      <c r="C962" s="127">
        <v>5</v>
      </c>
      <c r="D962" s="127" t="s">
        <v>88</v>
      </c>
      <c r="E962" s="127">
        <v>2</v>
      </c>
      <c r="F962" s="127">
        <v>1</v>
      </c>
      <c r="G962" s="130" t="s">
        <v>83</v>
      </c>
    </row>
    <row r="963" spans="2:7" x14ac:dyDescent="0.25">
      <c r="B963" s="126" t="s">
        <v>76</v>
      </c>
      <c r="C963" s="127">
        <v>5</v>
      </c>
      <c r="D963" s="127" t="s">
        <v>91</v>
      </c>
      <c r="E963" s="127">
        <v>1</v>
      </c>
      <c r="F963" s="127">
        <v>1</v>
      </c>
      <c r="G963" s="130" t="s">
        <v>172</v>
      </c>
    </row>
    <row r="964" spans="2:7" x14ac:dyDescent="0.25">
      <c r="B964" s="126" t="s">
        <v>76</v>
      </c>
      <c r="C964" s="127">
        <v>5</v>
      </c>
      <c r="D964" s="127" t="s">
        <v>173</v>
      </c>
      <c r="E964" s="127">
        <v>0</v>
      </c>
      <c r="F964" s="127">
        <v>3</v>
      </c>
      <c r="G964" s="130" t="s">
        <v>80</v>
      </c>
    </row>
    <row r="965" spans="2:7" x14ac:dyDescent="0.25">
      <c r="B965" s="126" t="s">
        <v>76</v>
      </c>
      <c r="C965" s="127">
        <v>5</v>
      </c>
      <c r="D965" s="127" t="s">
        <v>90</v>
      </c>
      <c r="E965" s="127">
        <v>2</v>
      </c>
      <c r="F965" s="127">
        <v>3</v>
      </c>
      <c r="G965" s="130" t="s">
        <v>86</v>
      </c>
    </row>
    <row r="966" spans="2:7" x14ac:dyDescent="0.25">
      <c r="B966" s="126" t="s">
        <v>76</v>
      </c>
      <c r="C966" s="127">
        <v>6</v>
      </c>
      <c r="D966" s="127" t="s">
        <v>79</v>
      </c>
      <c r="E966" s="127">
        <v>2</v>
      </c>
      <c r="F966" s="127">
        <v>2</v>
      </c>
      <c r="G966" s="130" t="s">
        <v>85</v>
      </c>
    </row>
    <row r="967" spans="2:7" x14ac:dyDescent="0.25">
      <c r="B967" s="126" t="s">
        <v>76</v>
      </c>
      <c r="C967" s="127">
        <v>6</v>
      </c>
      <c r="D967" s="127" t="s">
        <v>81</v>
      </c>
      <c r="E967" s="127">
        <v>2</v>
      </c>
      <c r="F967" s="127">
        <v>1</v>
      </c>
      <c r="G967" s="130" t="s">
        <v>84</v>
      </c>
    </row>
    <row r="968" spans="2:7" x14ac:dyDescent="0.25">
      <c r="B968" s="126" t="s">
        <v>76</v>
      </c>
      <c r="C968" s="127">
        <v>6</v>
      </c>
      <c r="D968" s="127" t="s">
        <v>86</v>
      </c>
      <c r="E968" s="127">
        <v>2</v>
      </c>
      <c r="F968" s="127">
        <v>0</v>
      </c>
      <c r="G968" s="130" t="s">
        <v>93</v>
      </c>
    </row>
    <row r="969" spans="2:7" x14ac:dyDescent="0.25">
      <c r="B969" s="126" t="s">
        <v>76</v>
      </c>
      <c r="C969" s="127">
        <v>6</v>
      </c>
      <c r="D969" s="127" t="s">
        <v>87</v>
      </c>
      <c r="E969" s="127">
        <v>0</v>
      </c>
      <c r="F969" s="127">
        <v>0</v>
      </c>
      <c r="G969" s="130" t="s">
        <v>91</v>
      </c>
    </row>
    <row r="970" spans="2:7" x14ac:dyDescent="0.25">
      <c r="B970" s="126" t="s">
        <v>76</v>
      </c>
      <c r="C970" s="127">
        <v>6</v>
      </c>
      <c r="D970" s="127" t="s">
        <v>90</v>
      </c>
      <c r="E970" s="127">
        <v>1</v>
      </c>
      <c r="F970" s="127">
        <v>0</v>
      </c>
      <c r="G970" s="130" t="s">
        <v>88</v>
      </c>
    </row>
    <row r="971" spans="2:7" x14ac:dyDescent="0.25">
      <c r="B971" s="126" t="s">
        <v>76</v>
      </c>
      <c r="C971" s="127">
        <v>6</v>
      </c>
      <c r="D971" s="127" t="s">
        <v>94</v>
      </c>
      <c r="E971" s="127">
        <v>0</v>
      </c>
      <c r="F971" s="127">
        <v>0</v>
      </c>
      <c r="G971" s="130" t="s">
        <v>92</v>
      </c>
    </row>
    <row r="972" spans="2:7" x14ac:dyDescent="0.25">
      <c r="B972" s="126" t="s">
        <v>76</v>
      </c>
      <c r="C972" s="127">
        <v>6</v>
      </c>
      <c r="D972" s="127" t="s">
        <v>80</v>
      </c>
      <c r="E972" s="127">
        <v>6</v>
      </c>
      <c r="F972" s="127">
        <v>1</v>
      </c>
      <c r="G972" s="130" t="s">
        <v>82</v>
      </c>
    </row>
    <row r="973" spans="2:7" x14ac:dyDescent="0.25">
      <c r="B973" s="126" t="s">
        <v>76</v>
      </c>
      <c r="C973" s="127">
        <v>6</v>
      </c>
      <c r="D973" s="127" t="s">
        <v>172</v>
      </c>
      <c r="E973" s="127">
        <v>0</v>
      </c>
      <c r="F973" s="127">
        <v>0</v>
      </c>
      <c r="G973" s="130" t="s">
        <v>161</v>
      </c>
    </row>
    <row r="974" spans="2:7" x14ac:dyDescent="0.25">
      <c r="B974" s="126" t="s">
        <v>76</v>
      </c>
      <c r="C974" s="127">
        <v>6</v>
      </c>
      <c r="D974" s="127" t="s">
        <v>83</v>
      </c>
      <c r="E974" s="127">
        <v>3</v>
      </c>
      <c r="F974" s="127">
        <v>0</v>
      </c>
      <c r="G974" s="130" t="s">
        <v>173</v>
      </c>
    </row>
    <row r="975" spans="2:7" x14ac:dyDescent="0.25">
      <c r="B975" s="126" t="s">
        <v>76</v>
      </c>
      <c r="C975" s="127">
        <v>7</v>
      </c>
      <c r="D975" s="127" t="s">
        <v>93</v>
      </c>
      <c r="E975" s="127">
        <v>1</v>
      </c>
      <c r="F975" s="127">
        <v>1</v>
      </c>
      <c r="G975" s="130" t="s">
        <v>83</v>
      </c>
    </row>
    <row r="976" spans="2:7" x14ac:dyDescent="0.25">
      <c r="B976" s="126" t="s">
        <v>76</v>
      </c>
      <c r="C976" s="127">
        <v>7</v>
      </c>
      <c r="D976" s="127" t="s">
        <v>84</v>
      </c>
      <c r="E976" s="127">
        <v>2</v>
      </c>
      <c r="F976" s="127">
        <v>1</v>
      </c>
      <c r="G976" s="130" t="s">
        <v>94</v>
      </c>
    </row>
    <row r="977" spans="2:7" x14ac:dyDescent="0.25">
      <c r="B977" s="126" t="s">
        <v>76</v>
      </c>
      <c r="C977" s="127">
        <v>7</v>
      </c>
      <c r="D977" s="127" t="s">
        <v>92</v>
      </c>
      <c r="E977" s="127">
        <v>1</v>
      </c>
      <c r="F977" s="127">
        <v>2</v>
      </c>
      <c r="G977" s="130" t="s">
        <v>80</v>
      </c>
    </row>
    <row r="978" spans="2:7" x14ac:dyDescent="0.25">
      <c r="B978" s="126" t="s">
        <v>76</v>
      </c>
      <c r="C978" s="127">
        <v>7</v>
      </c>
      <c r="D978" s="127" t="s">
        <v>85</v>
      </c>
      <c r="E978" s="127">
        <v>1</v>
      </c>
      <c r="F978" s="127">
        <v>1</v>
      </c>
      <c r="G978" s="130" t="s">
        <v>90</v>
      </c>
    </row>
    <row r="979" spans="2:7" x14ac:dyDescent="0.25">
      <c r="B979" s="126" t="s">
        <v>76</v>
      </c>
      <c r="C979" s="127">
        <v>7</v>
      </c>
      <c r="D979" s="127" t="s">
        <v>82</v>
      </c>
      <c r="E979" s="127">
        <v>2</v>
      </c>
      <c r="F979" s="127">
        <v>1</v>
      </c>
      <c r="G979" s="130" t="s">
        <v>172</v>
      </c>
    </row>
    <row r="980" spans="2:7" x14ac:dyDescent="0.25">
      <c r="B980" s="126" t="s">
        <v>76</v>
      </c>
      <c r="C980" s="127">
        <v>7</v>
      </c>
      <c r="D980" s="127" t="s">
        <v>173</v>
      </c>
      <c r="E980" s="127">
        <v>0</v>
      </c>
      <c r="F980" s="127">
        <v>0</v>
      </c>
      <c r="G980" s="130" t="s">
        <v>87</v>
      </c>
    </row>
    <row r="981" spans="2:7" x14ac:dyDescent="0.25">
      <c r="B981" s="126" t="s">
        <v>76</v>
      </c>
      <c r="C981" s="127">
        <v>7</v>
      </c>
      <c r="D981" s="127" t="s">
        <v>91</v>
      </c>
      <c r="E981" s="127">
        <v>3</v>
      </c>
      <c r="F981" s="127">
        <v>2</v>
      </c>
      <c r="G981" s="130" t="s">
        <v>86</v>
      </c>
    </row>
    <row r="982" spans="2:7" x14ac:dyDescent="0.25">
      <c r="B982" s="126" t="s">
        <v>76</v>
      </c>
      <c r="C982" s="127">
        <v>7</v>
      </c>
      <c r="D982" s="127" t="s">
        <v>88</v>
      </c>
      <c r="E982" s="127">
        <v>2</v>
      </c>
      <c r="F982" s="127">
        <v>2</v>
      </c>
      <c r="G982" s="130" t="s">
        <v>79</v>
      </c>
    </row>
    <row r="983" spans="2:7" x14ac:dyDescent="0.25">
      <c r="B983" s="126" t="s">
        <v>76</v>
      </c>
      <c r="C983" s="127">
        <v>7</v>
      </c>
      <c r="D983" s="127" t="s">
        <v>161</v>
      </c>
      <c r="E983" s="127">
        <v>1</v>
      </c>
      <c r="F983" s="127">
        <v>2</v>
      </c>
      <c r="G983" s="130" t="s">
        <v>81</v>
      </c>
    </row>
    <row r="984" spans="2:7" x14ac:dyDescent="0.25">
      <c r="B984" s="126" t="s">
        <v>76</v>
      </c>
      <c r="C984" s="127">
        <v>8</v>
      </c>
      <c r="D984" s="127" t="s">
        <v>94</v>
      </c>
      <c r="E984" s="127">
        <v>2</v>
      </c>
      <c r="F984" s="127">
        <v>1</v>
      </c>
      <c r="G984" s="130" t="s">
        <v>161</v>
      </c>
    </row>
    <row r="985" spans="2:7" x14ac:dyDescent="0.25">
      <c r="B985" s="126" t="s">
        <v>76</v>
      </c>
      <c r="C985" s="127">
        <v>8</v>
      </c>
      <c r="D985" s="127" t="s">
        <v>79</v>
      </c>
      <c r="E985" s="127">
        <v>5</v>
      </c>
      <c r="F985" s="127">
        <v>0</v>
      </c>
      <c r="G985" s="130" t="s">
        <v>91</v>
      </c>
    </row>
    <row r="986" spans="2:7" x14ac:dyDescent="0.25">
      <c r="B986" s="126" t="s">
        <v>76</v>
      </c>
      <c r="C986" s="127">
        <v>8</v>
      </c>
      <c r="D986" s="127" t="s">
        <v>86</v>
      </c>
      <c r="E986" s="127">
        <v>2</v>
      </c>
      <c r="F986" s="127">
        <v>2</v>
      </c>
      <c r="G986" s="130" t="s">
        <v>92</v>
      </c>
    </row>
    <row r="987" spans="2:7" x14ac:dyDescent="0.25">
      <c r="B987" s="126" t="s">
        <v>76</v>
      </c>
      <c r="C987" s="127">
        <v>8</v>
      </c>
      <c r="D987" s="127" t="s">
        <v>88</v>
      </c>
      <c r="E987" s="127">
        <v>0</v>
      </c>
      <c r="F987" s="127">
        <v>2</v>
      </c>
      <c r="G987" s="130" t="s">
        <v>93</v>
      </c>
    </row>
    <row r="988" spans="2:7" x14ac:dyDescent="0.25">
      <c r="B988" s="126" t="s">
        <v>76</v>
      </c>
      <c r="C988" s="127">
        <v>8</v>
      </c>
      <c r="D988" s="127" t="s">
        <v>90</v>
      </c>
      <c r="E988" s="127">
        <v>3</v>
      </c>
      <c r="F988" s="127">
        <v>2</v>
      </c>
      <c r="G988" s="130" t="s">
        <v>173</v>
      </c>
    </row>
    <row r="989" spans="2:7" x14ac:dyDescent="0.25">
      <c r="B989" s="126" t="s">
        <v>76</v>
      </c>
      <c r="C989" s="127">
        <v>8</v>
      </c>
      <c r="D989" s="127" t="s">
        <v>172</v>
      </c>
      <c r="E989" s="127">
        <v>1</v>
      </c>
      <c r="F989" s="127">
        <v>2</v>
      </c>
      <c r="G989" s="130" t="s">
        <v>84</v>
      </c>
    </row>
    <row r="990" spans="2:7" x14ac:dyDescent="0.25">
      <c r="B990" s="126" t="s">
        <v>76</v>
      </c>
      <c r="C990" s="127">
        <v>8</v>
      </c>
      <c r="D990" s="127" t="s">
        <v>80</v>
      </c>
      <c r="E990" s="127">
        <v>2</v>
      </c>
      <c r="F990" s="127">
        <v>3</v>
      </c>
      <c r="G990" s="130" t="s">
        <v>81</v>
      </c>
    </row>
    <row r="991" spans="2:7" x14ac:dyDescent="0.25">
      <c r="B991" s="126" t="s">
        <v>76</v>
      </c>
      <c r="C991" s="127">
        <v>8</v>
      </c>
      <c r="D991" s="127" t="s">
        <v>83</v>
      </c>
      <c r="E991" s="127">
        <v>2</v>
      </c>
      <c r="F991" s="127">
        <v>2</v>
      </c>
      <c r="G991" s="130" t="s">
        <v>85</v>
      </c>
    </row>
    <row r="992" spans="2:7" x14ac:dyDescent="0.25">
      <c r="B992" s="126" t="s">
        <v>76</v>
      </c>
      <c r="C992" s="127">
        <v>8</v>
      </c>
      <c r="D992" s="127" t="s">
        <v>87</v>
      </c>
      <c r="E992" s="127">
        <v>0</v>
      </c>
      <c r="F992" s="127">
        <v>2</v>
      </c>
      <c r="G992" s="130" t="s">
        <v>82</v>
      </c>
    </row>
    <row r="993" spans="2:7" x14ac:dyDescent="0.25">
      <c r="B993" s="126" t="s">
        <v>76</v>
      </c>
      <c r="C993" s="127">
        <v>9</v>
      </c>
      <c r="D993" s="127" t="s">
        <v>93</v>
      </c>
      <c r="E993" s="127">
        <v>2</v>
      </c>
      <c r="F993" s="127">
        <v>0</v>
      </c>
      <c r="G993" s="130" t="s">
        <v>90</v>
      </c>
    </row>
    <row r="994" spans="2:7" x14ac:dyDescent="0.25">
      <c r="B994" s="126" t="s">
        <v>76</v>
      </c>
      <c r="C994" s="127">
        <v>9</v>
      </c>
      <c r="D994" s="127" t="s">
        <v>81</v>
      </c>
      <c r="E994" s="127">
        <v>1</v>
      </c>
      <c r="F994" s="127">
        <v>0</v>
      </c>
      <c r="G994" s="130" t="s">
        <v>94</v>
      </c>
    </row>
    <row r="995" spans="2:7" x14ac:dyDescent="0.25">
      <c r="B995" s="126" t="s">
        <v>76</v>
      </c>
      <c r="C995" s="127">
        <v>9</v>
      </c>
      <c r="D995" s="127" t="s">
        <v>82</v>
      </c>
      <c r="E995" s="127">
        <v>1</v>
      </c>
      <c r="F995" s="127">
        <v>5</v>
      </c>
      <c r="G995" s="130" t="s">
        <v>83</v>
      </c>
    </row>
    <row r="996" spans="2:7" x14ac:dyDescent="0.25">
      <c r="B996" s="126" t="s">
        <v>76</v>
      </c>
      <c r="C996" s="127">
        <v>9</v>
      </c>
      <c r="D996" s="127" t="s">
        <v>84</v>
      </c>
      <c r="E996" s="127">
        <v>2</v>
      </c>
      <c r="F996" s="127">
        <v>2</v>
      </c>
      <c r="G996" s="130" t="s">
        <v>80</v>
      </c>
    </row>
    <row r="997" spans="2:7" x14ac:dyDescent="0.25">
      <c r="B997" s="126" t="s">
        <v>76</v>
      </c>
      <c r="C997" s="127">
        <v>9</v>
      </c>
      <c r="D997" s="127" t="s">
        <v>92</v>
      </c>
      <c r="E997" s="127">
        <v>1</v>
      </c>
      <c r="F997" s="127">
        <v>2</v>
      </c>
      <c r="G997" s="130" t="s">
        <v>172</v>
      </c>
    </row>
    <row r="998" spans="2:7" x14ac:dyDescent="0.25">
      <c r="B998" s="126" t="s">
        <v>76</v>
      </c>
      <c r="C998" s="127">
        <v>9</v>
      </c>
      <c r="D998" s="127" t="s">
        <v>173</v>
      </c>
      <c r="E998" s="127">
        <v>0</v>
      </c>
      <c r="F998" s="127">
        <v>1</v>
      </c>
      <c r="G998" s="130" t="s">
        <v>79</v>
      </c>
    </row>
    <row r="999" spans="2:7" x14ac:dyDescent="0.25">
      <c r="B999" s="126" t="s">
        <v>76</v>
      </c>
      <c r="C999" s="127">
        <v>9</v>
      </c>
      <c r="D999" s="127" t="s">
        <v>161</v>
      </c>
      <c r="E999" s="127">
        <v>0</v>
      </c>
      <c r="F999" s="127">
        <v>0</v>
      </c>
      <c r="G999" s="130" t="s">
        <v>87</v>
      </c>
    </row>
    <row r="1000" spans="2:7" x14ac:dyDescent="0.25">
      <c r="B1000" s="126" t="s">
        <v>76</v>
      </c>
      <c r="C1000" s="127">
        <v>9</v>
      </c>
      <c r="D1000" s="127" t="s">
        <v>91</v>
      </c>
      <c r="E1000" s="127">
        <v>1</v>
      </c>
      <c r="F1000" s="127">
        <v>1</v>
      </c>
      <c r="G1000" s="130" t="s">
        <v>88</v>
      </c>
    </row>
    <row r="1001" spans="2:7" x14ac:dyDescent="0.25">
      <c r="B1001" s="126" t="s">
        <v>76</v>
      </c>
      <c r="C1001" s="127">
        <v>9</v>
      </c>
      <c r="D1001" s="127" t="s">
        <v>85</v>
      </c>
      <c r="E1001" s="127">
        <v>1</v>
      </c>
      <c r="F1001" s="127">
        <v>1</v>
      </c>
      <c r="G1001" s="130" t="s">
        <v>86</v>
      </c>
    </row>
    <row r="1002" spans="2:7" x14ac:dyDescent="0.25">
      <c r="B1002" s="126" t="s">
        <v>76</v>
      </c>
      <c r="C1002" s="127">
        <v>10</v>
      </c>
      <c r="D1002" s="127" t="s">
        <v>90</v>
      </c>
      <c r="E1002" s="127">
        <v>1</v>
      </c>
      <c r="F1002" s="127">
        <v>1</v>
      </c>
      <c r="G1002" s="130" t="s">
        <v>84</v>
      </c>
    </row>
    <row r="1003" spans="2:7" x14ac:dyDescent="0.25">
      <c r="B1003" s="126" t="s">
        <v>76</v>
      </c>
      <c r="C1003" s="127">
        <v>10</v>
      </c>
      <c r="D1003" s="127" t="s">
        <v>86</v>
      </c>
      <c r="E1003" s="127">
        <v>1</v>
      </c>
      <c r="F1003" s="127">
        <v>3</v>
      </c>
      <c r="G1003" s="130" t="s">
        <v>82</v>
      </c>
    </row>
    <row r="1004" spans="2:7" x14ac:dyDescent="0.25">
      <c r="B1004" s="126" t="s">
        <v>76</v>
      </c>
      <c r="C1004" s="127">
        <v>10</v>
      </c>
      <c r="D1004" s="127" t="s">
        <v>88</v>
      </c>
      <c r="E1004" s="127">
        <v>2</v>
      </c>
      <c r="F1004" s="127">
        <v>1</v>
      </c>
      <c r="G1004" s="130" t="s">
        <v>173</v>
      </c>
    </row>
    <row r="1005" spans="2:7" x14ac:dyDescent="0.25">
      <c r="B1005" s="126" t="s">
        <v>76</v>
      </c>
      <c r="C1005" s="127">
        <v>10</v>
      </c>
      <c r="D1005" s="127" t="s">
        <v>93</v>
      </c>
      <c r="E1005" s="127">
        <v>1</v>
      </c>
      <c r="F1005" s="127">
        <v>1</v>
      </c>
      <c r="G1005" s="130" t="s">
        <v>85</v>
      </c>
    </row>
    <row r="1006" spans="2:7" x14ac:dyDescent="0.25">
      <c r="B1006" s="126" t="s">
        <v>76</v>
      </c>
      <c r="C1006" s="127">
        <v>10</v>
      </c>
      <c r="D1006" s="127" t="s">
        <v>83</v>
      </c>
      <c r="E1006" s="127">
        <v>2</v>
      </c>
      <c r="F1006" s="127">
        <v>1</v>
      </c>
      <c r="G1006" s="130" t="s">
        <v>161</v>
      </c>
    </row>
    <row r="1007" spans="2:7" x14ac:dyDescent="0.25">
      <c r="B1007" s="126" t="s">
        <v>76</v>
      </c>
      <c r="C1007" s="127">
        <v>10</v>
      </c>
      <c r="D1007" s="127" t="s">
        <v>172</v>
      </c>
      <c r="E1007" s="127">
        <v>4</v>
      </c>
      <c r="F1007" s="127">
        <v>2</v>
      </c>
      <c r="G1007" s="130" t="s">
        <v>80</v>
      </c>
    </row>
    <row r="1008" spans="2:7" x14ac:dyDescent="0.25">
      <c r="B1008" s="126" t="s">
        <v>76</v>
      </c>
      <c r="C1008" s="127">
        <v>10</v>
      </c>
      <c r="D1008" s="127" t="s">
        <v>79</v>
      </c>
      <c r="E1008" s="127">
        <v>2</v>
      </c>
      <c r="F1008" s="127">
        <v>0</v>
      </c>
      <c r="G1008" s="130" t="s">
        <v>81</v>
      </c>
    </row>
    <row r="1009" spans="2:7" x14ac:dyDescent="0.25">
      <c r="B1009" s="126" t="s">
        <v>76</v>
      </c>
      <c r="C1009" s="127">
        <v>10</v>
      </c>
      <c r="D1009" s="127" t="s">
        <v>87</v>
      </c>
      <c r="E1009" s="127">
        <v>0</v>
      </c>
      <c r="F1009" s="127">
        <v>3</v>
      </c>
      <c r="G1009" s="130" t="s">
        <v>92</v>
      </c>
    </row>
    <row r="1010" spans="2:7" x14ac:dyDescent="0.25">
      <c r="B1010" s="126" t="s">
        <v>76</v>
      </c>
      <c r="C1010" s="127">
        <v>10</v>
      </c>
      <c r="D1010" s="127" t="s">
        <v>94</v>
      </c>
      <c r="E1010" s="127">
        <v>3</v>
      </c>
      <c r="F1010" s="127">
        <v>0</v>
      </c>
      <c r="G1010" s="130" t="s">
        <v>91</v>
      </c>
    </row>
    <row r="1011" spans="2:7" x14ac:dyDescent="0.25">
      <c r="B1011" s="126" t="s">
        <v>76</v>
      </c>
      <c r="C1011" s="127">
        <v>11</v>
      </c>
      <c r="D1011" s="127" t="s">
        <v>84</v>
      </c>
      <c r="E1011" s="127">
        <v>2</v>
      </c>
      <c r="F1011" s="127">
        <v>1</v>
      </c>
      <c r="G1011" s="130" t="s">
        <v>87</v>
      </c>
    </row>
    <row r="1012" spans="2:7" x14ac:dyDescent="0.25">
      <c r="B1012" s="126" t="s">
        <v>76</v>
      </c>
      <c r="C1012" s="127">
        <v>11</v>
      </c>
      <c r="D1012" s="127" t="s">
        <v>81</v>
      </c>
      <c r="E1012" s="127">
        <v>2</v>
      </c>
      <c r="F1012" s="127">
        <v>1</v>
      </c>
      <c r="G1012" s="130" t="s">
        <v>172</v>
      </c>
    </row>
    <row r="1013" spans="2:7" x14ac:dyDescent="0.25">
      <c r="B1013" s="126" t="s">
        <v>76</v>
      </c>
      <c r="C1013" s="127">
        <v>11</v>
      </c>
      <c r="D1013" s="127" t="s">
        <v>91</v>
      </c>
      <c r="E1013" s="127">
        <v>0</v>
      </c>
      <c r="F1013" s="127">
        <v>1</v>
      </c>
      <c r="G1013" s="130" t="s">
        <v>93</v>
      </c>
    </row>
    <row r="1014" spans="2:7" x14ac:dyDescent="0.25">
      <c r="B1014" s="126" t="s">
        <v>76</v>
      </c>
      <c r="C1014" s="127">
        <v>11</v>
      </c>
      <c r="D1014" s="127" t="s">
        <v>82</v>
      </c>
      <c r="E1014" s="127">
        <v>1</v>
      </c>
      <c r="F1014" s="127">
        <v>1</v>
      </c>
      <c r="G1014" s="130" t="s">
        <v>90</v>
      </c>
    </row>
    <row r="1015" spans="2:7" x14ac:dyDescent="0.25">
      <c r="B1015" s="126" t="s">
        <v>76</v>
      </c>
      <c r="C1015" s="127">
        <v>11</v>
      </c>
      <c r="D1015" s="127" t="s">
        <v>92</v>
      </c>
      <c r="E1015" s="127">
        <v>1</v>
      </c>
      <c r="F1015" s="127">
        <v>1</v>
      </c>
      <c r="G1015" s="130" t="s">
        <v>83</v>
      </c>
    </row>
    <row r="1016" spans="2:7" x14ac:dyDescent="0.25">
      <c r="B1016" s="126" t="s">
        <v>76</v>
      </c>
      <c r="C1016" s="127">
        <v>11</v>
      </c>
      <c r="D1016" s="127" t="s">
        <v>173</v>
      </c>
      <c r="E1016" s="127">
        <v>3</v>
      </c>
      <c r="F1016" s="127">
        <v>1</v>
      </c>
      <c r="G1016" s="130" t="s">
        <v>94</v>
      </c>
    </row>
    <row r="1017" spans="2:7" x14ac:dyDescent="0.25">
      <c r="B1017" s="126" t="s">
        <v>76</v>
      </c>
      <c r="C1017" s="127">
        <v>11</v>
      </c>
      <c r="D1017" s="127" t="s">
        <v>80</v>
      </c>
      <c r="E1017" s="127">
        <v>1</v>
      </c>
      <c r="F1017" s="127">
        <v>3</v>
      </c>
      <c r="G1017" s="130" t="s">
        <v>79</v>
      </c>
    </row>
    <row r="1018" spans="2:7" x14ac:dyDescent="0.25">
      <c r="B1018" s="126" t="s">
        <v>76</v>
      </c>
      <c r="C1018" s="127">
        <v>11</v>
      </c>
      <c r="D1018" s="127" t="s">
        <v>161</v>
      </c>
      <c r="E1018" s="127">
        <v>0</v>
      </c>
      <c r="F1018" s="127">
        <v>3</v>
      </c>
      <c r="G1018" s="130" t="s">
        <v>86</v>
      </c>
    </row>
    <row r="1019" spans="2:7" x14ac:dyDescent="0.25">
      <c r="B1019" s="126" t="s">
        <v>76</v>
      </c>
      <c r="C1019" s="127">
        <v>11</v>
      </c>
      <c r="D1019" s="127" t="s">
        <v>85</v>
      </c>
      <c r="E1019" s="127">
        <v>3</v>
      </c>
      <c r="F1019" s="127">
        <v>3</v>
      </c>
      <c r="G1019" s="130" t="s">
        <v>88</v>
      </c>
    </row>
    <row r="1020" spans="2:7" x14ac:dyDescent="0.25">
      <c r="B1020" s="126" t="s">
        <v>76</v>
      </c>
      <c r="C1020" s="127">
        <v>12</v>
      </c>
      <c r="D1020" s="127" t="s">
        <v>94</v>
      </c>
      <c r="E1020" s="127">
        <v>2</v>
      </c>
      <c r="F1020" s="127">
        <v>1</v>
      </c>
      <c r="G1020" s="130" t="s">
        <v>80</v>
      </c>
    </row>
    <row r="1021" spans="2:7" x14ac:dyDescent="0.25">
      <c r="B1021" s="126" t="s">
        <v>76</v>
      </c>
      <c r="C1021" s="127">
        <v>12</v>
      </c>
      <c r="D1021" s="127" t="s">
        <v>79</v>
      </c>
      <c r="E1021" s="127">
        <v>3</v>
      </c>
      <c r="F1021" s="127">
        <v>0</v>
      </c>
      <c r="G1021" s="130" t="s">
        <v>92</v>
      </c>
    </row>
    <row r="1022" spans="2:7" x14ac:dyDescent="0.25">
      <c r="B1022" s="126" t="s">
        <v>76</v>
      </c>
      <c r="C1022" s="127">
        <v>12</v>
      </c>
      <c r="D1022" s="127" t="s">
        <v>86</v>
      </c>
      <c r="E1022" s="127">
        <v>1</v>
      </c>
      <c r="F1022" s="127">
        <v>1</v>
      </c>
      <c r="G1022" s="130" t="s">
        <v>84</v>
      </c>
    </row>
    <row r="1023" spans="2:7" x14ac:dyDescent="0.25">
      <c r="B1023" s="126" t="s">
        <v>76</v>
      </c>
      <c r="C1023" s="127">
        <v>12</v>
      </c>
      <c r="D1023" s="127" t="s">
        <v>83</v>
      </c>
      <c r="E1023" s="127">
        <v>2</v>
      </c>
      <c r="F1023" s="127">
        <v>2</v>
      </c>
      <c r="G1023" s="130" t="s">
        <v>81</v>
      </c>
    </row>
    <row r="1024" spans="2:7" x14ac:dyDescent="0.25">
      <c r="B1024" s="126" t="s">
        <v>76</v>
      </c>
      <c r="C1024" s="127">
        <v>12</v>
      </c>
      <c r="D1024" s="127" t="s">
        <v>90</v>
      </c>
      <c r="E1024" s="127">
        <v>1</v>
      </c>
      <c r="F1024" s="127">
        <v>0</v>
      </c>
      <c r="G1024" s="130" t="s">
        <v>161</v>
      </c>
    </row>
    <row r="1025" spans="2:7" x14ac:dyDescent="0.25">
      <c r="B1025" s="126" t="s">
        <v>76</v>
      </c>
      <c r="C1025" s="127">
        <v>12</v>
      </c>
      <c r="D1025" s="127" t="s">
        <v>85</v>
      </c>
      <c r="E1025" s="127">
        <v>3</v>
      </c>
      <c r="F1025" s="127">
        <v>1</v>
      </c>
      <c r="G1025" s="130" t="s">
        <v>91</v>
      </c>
    </row>
    <row r="1026" spans="2:7" x14ac:dyDescent="0.25">
      <c r="B1026" s="126" t="s">
        <v>76</v>
      </c>
      <c r="C1026" s="127">
        <v>12</v>
      </c>
      <c r="D1026" s="127" t="s">
        <v>88</v>
      </c>
      <c r="E1026" s="127">
        <v>2</v>
      </c>
      <c r="F1026" s="127">
        <v>4</v>
      </c>
      <c r="G1026" s="130" t="s">
        <v>82</v>
      </c>
    </row>
    <row r="1027" spans="2:7" x14ac:dyDescent="0.25">
      <c r="B1027" s="126" t="s">
        <v>76</v>
      </c>
      <c r="C1027" s="127">
        <v>12</v>
      </c>
      <c r="D1027" s="127" t="s">
        <v>93</v>
      </c>
      <c r="E1027" s="127">
        <v>2</v>
      </c>
      <c r="F1027" s="127">
        <v>0</v>
      </c>
      <c r="G1027" s="130" t="s">
        <v>173</v>
      </c>
    </row>
    <row r="1028" spans="2:7" x14ac:dyDescent="0.25">
      <c r="B1028" s="126" t="s">
        <v>76</v>
      </c>
      <c r="C1028" s="127">
        <v>12</v>
      </c>
      <c r="D1028" s="127" t="s">
        <v>87</v>
      </c>
      <c r="E1028" s="127">
        <v>4</v>
      </c>
      <c r="F1028" s="127">
        <v>0</v>
      </c>
      <c r="G1028" s="130" t="s">
        <v>172</v>
      </c>
    </row>
    <row r="1029" spans="2:7" x14ac:dyDescent="0.25">
      <c r="B1029" s="126" t="s">
        <v>76</v>
      </c>
      <c r="C1029" s="127">
        <v>13</v>
      </c>
      <c r="D1029" s="127" t="s">
        <v>172</v>
      </c>
      <c r="E1029" s="127">
        <v>1</v>
      </c>
      <c r="F1029" s="127">
        <v>1</v>
      </c>
      <c r="G1029" s="130" t="s">
        <v>94</v>
      </c>
    </row>
    <row r="1030" spans="2:7" x14ac:dyDescent="0.25">
      <c r="B1030" s="126" t="s">
        <v>76</v>
      </c>
      <c r="C1030" s="127">
        <v>13</v>
      </c>
      <c r="D1030" s="127" t="s">
        <v>80</v>
      </c>
      <c r="E1030" s="127">
        <v>4</v>
      </c>
      <c r="F1030" s="127">
        <v>4</v>
      </c>
      <c r="G1030" s="130" t="s">
        <v>93</v>
      </c>
    </row>
    <row r="1031" spans="2:7" x14ac:dyDescent="0.25">
      <c r="B1031" s="126" t="s">
        <v>76</v>
      </c>
      <c r="C1031" s="127">
        <v>13</v>
      </c>
      <c r="D1031" s="127" t="s">
        <v>81</v>
      </c>
      <c r="E1031" s="127">
        <v>2</v>
      </c>
      <c r="F1031" s="127">
        <v>0</v>
      </c>
      <c r="G1031" s="130" t="s">
        <v>87</v>
      </c>
    </row>
    <row r="1032" spans="2:7" x14ac:dyDescent="0.25">
      <c r="B1032" s="126" t="s">
        <v>76</v>
      </c>
      <c r="C1032" s="127">
        <v>13</v>
      </c>
      <c r="D1032" s="127" t="s">
        <v>91</v>
      </c>
      <c r="E1032" s="127">
        <v>2</v>
      </c>
      <c r="F1032" s="127">
        <v>1</v>
      </c>
      <c r="G1032" s="130" t="s">
        <v>90</v>
      </c>
    </row>
    <row r="1033" spans="2:7" x14ac:dyDescent="0.25">
      <c r="B1033" s="126" t="s">
        <v>76</v>
      </c>
      <c r="C1033" s="127">
        <v>13</v>
      </c>
      <c r="D1033" s="127" t="s">
        <v>84</v>
      </c>
      <c r="E1033" s="127">
        <v>0</v>
      </c>
      <c r="F1033" s="127">
        <v>1</v>
      </c>
      <c r="G1033" s="130" t="s">
        <v>83</v>
      </c>
    </row>
    <row r="1034" spans="2:7" x14ac:dyDescent="0.25">
      <c r="B1034" s="126" t="s">
        <v>76</v>
      </c>
      <c r="C1034" s="127">
        <v>13</v>
      </c>
      <c r="D1034" s="127" t="s">
        <v>92</v>
      </c>
      <c r="E1034" s="127">
        <v>2</v>
      </c>
      <c r="F1034" s="127">
        <v>1</v>
      </c>
      <c r="G1034" s="130" t="s">
        <v>85</v>
      </c>
    </row>
    <row r="1035" spans="2:7" x14ac:dyDescent="0.25">
      <c r="B1035" s="126" t="s">
        <v>76</v>
      </c>
      <c r="C1035" s="127">
        <v>13</v>
      </c>
      <c r="D1035" s="127" t="s">
        <v>82</v>
      </c>
      <c r="E1035" s="127">
        <v>2</v>
      </c>
      <c r="F1035" s="127">
        <v>1</v>
      </c>
      <c r="G1035" s="130" t="s">
        <v>79</v>
      </c>
    </row>
    <row r="1036" spans="2:7" x14ac:dyDescent="0.25">
      <c r="B1036" s="126" t="s">
        <v>76</v>
      </c>
      <c r="C1036" s="127">
        <v>13</v>
      </c>
      <c r="D1036" s="127" t="s">
        <v>173</v>
      </c>
      <c r="E1036" s="127">
        <v>3</v>
      </c>
      <c r="F1036" s="127">
        <v>0</v>
      </c>
      <c r="G1036" s="130" t="s">
        <v>86</v>
      </c>
    </row>
    <row r="1037" spans="2:7" x14ac:dyDescent="0.25">
      <c r="B1037" s="126" t="s">
        <v>76</v>
      </c>
      <c r="C1037" s="127">
        <v>13</v>
      </c>
      <c r="D1037" s="127" t="s">
        <v>161</v>
      </c>
      <c r="E1037" s="127">
        <v>0</v>
      </c>
      <c r="F1037" s="127">
        <v>2</v>
      </c>
      <c r="G1037" s="130" t="s">
        <v>88</v>
      </c>
    </row>
    <row r="1038" spans="2:7" x14ac:dyDescent="0.25">
      <c r="B1038" s="126" t="s">
        <v>76</v>
      </c>
      <c r="C1038" s="127">
        <v>14</v>
      </c>
      <c r="D1038" s="127" t="s">
        <v>91</v>
      </c>
      <c r="E1038" s="127">
        <v>0</v>
      </c>
      <c r="F1038" s="127">
        <v>0</v>
      </c>
      <c r="G1038" s="130" t="s">
        <v>173</v>
      </c>
    </row>
    <row r="1039" spans="2:7" x14ac:dyDescent="0.25">
      <c r="B1039" s="126" t="s">
        <v>76</v>
      </c>
      <c r="C1039" s="127">
        <v>14</v>
      </c>
      <c r="D1039" s="127" t="s">
        <v>79</v>
      </c>
      <c r="E1039" s="127">
        <v>3</v>
      </c>
      <c r="F1039" s="127">
        <v>1</v>
      </c>
      <c r="G1039" s="130" t="s">
        <v>172</v>
      </c>
    </row>
    <row r="1040" spans="2:7" x14ac:dyDescent="0.25">
      <c r="B1040" s="126" t="s">
        <v>76</v>
      </c>
      <c r="C1040" s="127">
        <v>14</v>
      </c>
      <c r="D1040" s="127" t="s">
        <v>86</v>
      </c>
      <c r="E1040" s="127">
        <v>4</v>
      </c>
      <c r="F1040" s="127">
        <v>0</v>
      </c>
      <c r="G1040" s="130" t="s">
        <v>81</v>
      </c>
    </row>
    <row r="1041" spans="2:7" x14ac:dyDescent="0.25">
      <c r="B1041" s="126" t="s">
        <v>76</v>
      </c>
      <c r="C1041" s="127">
        <v>14</v>
      </c>
      <c r="D1041" s="127" t="s">
        <v>87</v>
      </c>
      <c r="E1041" s="127">
        <v>1</v>
      </c>
      <c r="F1041" s="127">
        <v>0</v>
      </c>
      <c r="G1041" s="130" t="s">
        <v>94</v>
      </c>
    </row>
    <row r="1042" spans="2:7" x14ac:dyDescent="0.25">
      <c r="B1042" s="126" t="s">
        <v>76</v>
      </c>
      <c r="C1042" s="127">
        <v>14</v>
      </c>
      <c r="D1042" s="127" t="s">
        <v>83</v>
      </c>
      <c r="E1042" s="127">
        <v>1</v>
      </c>
      <c r="F1042" s="127">
        <v>1</v>
      </c>
      <c r="G1042" s="130" t="s">
        <v>80</v>
      </c>
    </row>
    <row r="1043" spans="2:7" x14ac:dyDescent="0.25">
      <c r="B1043" s="126" t="s">
        <v>76</v>
      </c>
      <c r="C1043" s="127">
        <v>14</v>
      </c>
      <c r="D1043" s="127" t="s">
        <v>90</v>
      </c>
      <c r="E1043" s="127">
        <v>1</v>
      </c>
      <c r="F1043" s="127">
        <v>3</v>
      </c>
      <c r="G1043" s="130" t="s">
        <v>92</v>
      </c>
    </row>
    <row r="1044" spans="2:7" x14ac:dyDescent="0.25">
      <c r="B1044" s="126" t="s">
        <v>76</v>
      </c>
      <c r="C1044" s="127">
        <v>14</v>
      </c>
      <c r="D1044" s="127" t="s">
        <v>93</v>
      </c>
      <c r="E1044" s="127">
        <v>2</v>
      </c>
      <c r="F1044" s="127">
        <v>2</v>
      </c>
      <c r="G1044" s="130" t="s">
        <v>161</v>
      </c>
    </row>
    <row r="1045" spans="2:7" x14ac:dyDescent="0.25">
      <c r="B1045" s="126" t="s">
        <v>76</v>
      </c>
      <c r="C1045" s="127">
        <v>14</v>
      </c>
      <c r="D1045" s="127" t="s">
        <v>88</v>
      </c>
      <c r="E1045" s="127">
        <v>1</v>
      </c>
      <c r="F1045" s="127">
        <v>2</v>
      </c>
      <c r="G1045" s="130" t="s">
        <v>84</v>
      </c>
    </row>
    <row r="1046" spans="2:7" x14ac:dyDescent="0.25">
      <c r="B1046" s="126" t="s">
        <v>76</v>
      </c>
      <c r="C1046" s="127">
        <v>14</v>
      </c>
      <c r="D1046" s="127" t="s">
        <v>85</v>
      </c>
      <c r="E1046" s="127">
        <v>3</v>
      </c>
      <c r="F1046" s="127">
        <v>0</v>
      </c>
      <c r="G1046" s="130" t="s">
        <v>82</v>
      </c>
    </row>
    <row r="1047" spans="2:7" x14ac:dyDescent="0.25">
      <c r="B1047" s="126" t="s">
        <v>76</v>
      </c>
      <c r="C1047" s="127">
        <v>15</v>
      </c>
      <c r="D1047" s="127" t="s">
        <v>94</v>
      </c>
      <c r="E1047" s="127">
        <v>0</v>
      </c>
      <c r="F1047" s="127">
        <v>2</v>
      </c>
      <c r="G1047" s="130" t="s">
        <v>83</v>
      </c>
    </row>
    <row r="1048" spans="2:7" x14ac:dyDescent="0.25">
      <c r="B1048" s="126" t="s">
        <v>76</v>
      </c>
      <c r="C1048" s="127">
        <v>15</v>
      </c>
      <c r="D1048" s="127" t="s">
        <v>80</v>
      </c>
      <c r="E1048" s="127">
        <v>1</v>
      </c>
      <c r="F1048" s="127">
        <v>2</v>
      </c>
      <c r="G1048" s="130" t="s">
        <v>87</v>
      </c>
    </row>
    <row r="1049" spans="2:7" x14ac:dyDescent="0.25">
      <c r="B1049" s="126" t="s">
        <v>76</v>
      </c>
      <c r="C1049" s="127">
        <v>15</v>
      </c>
      <c r="D1049" s="127" t="s">
        <v>81</v>
      </c>
      <c r="E1049" s="127">
        <v>2</v>
      </c>
      <c r="F1049" s="127">
        <v>2</v>
      </c>
      <c r="G1049" s="130" t="s">
        <v>90</v>
      </c>
    </row>
    <row r="1050" spans="2:7" x14ac:dyDescent="0.25">
      <c r="B1050" s="126" t="s">
        <v>76</v>
      </c>
      <c r="C1050" s="127">
        <v>15</v>
      </c>
      <c r="D1050" s="127" t="s">
        <v>84</v>
      </c>
      <c r="E1050" s="127">
        <v>0</v>
      </c>
      <c r="F1050" s="127">
        <v>1</v>
      </c>
      <c r="G1050" s="130" t="s">
        <v>79</v>
      </c>
    </row>
    <row r="1051" spans="2:7" x14ac:dyDescent="0.25">
      <c r="B1051" s="126" t="s">
        <v>76</v>
      </c>
      <c r="C1051" s="127">
        <v>15</v>
      </c>
      <c r="D1051" s="127" t="s">
        <v>173</v>
      </c>
      <c r="E1051" s="127">
        <v>0</v>
      </c>
      <c r="F1051" s="127">
        <v>0</v>
      </c>
      <c r="G1051" s="130" t="s">
        <v>85</v>
      </c>
    </row>
    <row r="1052" spans="2:7" x14ac:dyDescent="0.25">
      <c r="B1052" s="126" t="s">
        <v>76</v>
      </c>
      <c r="C1052" s="127">
        <v>15</v>
      </c>
      <c r="D1052" s="127" t="s">
        <v>82</v>
      </c>
      <c r="E1052" s="127">
        <v>1</v>
      </c>
      <c r="F1052" s="127">
        <v>1</v>
      </c>
      <c r="G1052" s="130" t="s">
        <v>93</v>
      </c>
    </row>
    <row r="1053" spans="2:7" x14ac:dyDescent="0.25">
      <c r="B1053" s="126" t="s">
        <v>76</v>
      </c>
      <c r="C1053" s="127">
        <v>15</v>
      </c>
      <c r="D1053" s="127" t="s">
        <v>161</v>
      </c>
      <c r="E1053" s="127">
        <v>3</v>
      </c>
      <c r="F1053" s="127">
        <v>4</v>
      </c>
      <c r="G1053" s="130" t="s">
        <v>91</v>
      </c>
    </row>
    <row r="1054" spans="2:7" x14ac:dyDescent="0.25">
      <c r="B1054" s="126" t="s">
        <v>76</v>
      </c>
      <c r="C1054" s="127">
        <v>15</v>
      </c>
      <c r="D1054" s="127" t="s">
        <v>172</v>
      </c>
      <c r="E1054" s="127">
        <v>2</v>
      </c>
      <c r="F1054" s="127">
        <v>0</v>
      </c>
      <c r="G1054" s="130" t="s">
        <v>86</v>
      </c>
    </row>
    <row r="1055" spans="2:7" x14ac:dyDescent="0.25">
      <c r="B1055" s="126" t="s">
        <v>76</v>
      </c>
      <c r="C1055" s="127">
        <v>15</v>
      </c>
      <c r="D1055" s="127" t="s">
        <v>92</v>
      </c>
      <c r="E1055" s="127">
        <v>1</v>
      </c>
      <c r="F1055" s="127">
        <v>1</v>
      </c>
      <c r="G1055" s="130" t="s">
        <v>88</v>
      </c>
    </row>
    <row r="1056" spans="2:7" x14ac:dyDescent="0.25">
      <c r="B1056" s="126" t="s">
        <v>76</v>
      </c>
      <c r="C1056" s="127">
        <v>16</v>
      </c>
      <c r="D1056" s="127" t="s">
        <v>85</v>
      </c>
      <c r="E1056" s="127">
        <v>1</v>
      </c>
      <c r="F1056" s="127">
        <v>1</v>
      </c>
      <c r="G1056" s="130" t="s">
        <v>81</v>
      </c>
    </row>
    <row r="1057" spans="2:7" x14ac:dyDescent="0.25">
      <c r="B1057" s="126" t="s">
        <v>76</v>
      </c>
      <c r="C1057" s="127">
        <v>16</v>
      </c>
      <c r="D1057" s="127" t="s">
        <v>173</v>
      </c>
      <c r="E1057" s="127">
        <v>1</v>
      </c>
      <c r="F1057" s="127">
        <v>2</v>
      </c>
      <c r="G1057" s="130" t="s">
        <v>84</v>
      </c>
    </row>
    <row r="1058" spans="2:7" x14ac:dyDescent="0.25">
      <c r="B1058" s="126" t="s">
        <v>76</v>
      </c>
      <c r="C1058" s="127">
        <v>16</v>
      </c>
      <c r="D1058" s="127" t="s">
        <v>90</v>
      </c>
      <c r="E1058" s="127">
        <v>0</v>
      </c>
      <c r="F1058" s="127">
        <v>2</v>
      </c>
      <c r="G1058" s="130" t="s">
        <v>80</v>
      </c>
    </row>
    <row r="1059" spans="2:7" x14ac:dyDescent="0.25">
      <c r="B1059" s="126" t="s">
        <v>76</v>
      </c>
      <c r="C1059" s="127">
        <v>16</v>
      </c>
      <c r="D1059" s="127" t="s">
        <v>91</v>
      </c>
      <c r="E1059" s="127">
        <v>1</v>
      </c>
      <c r="F1059" s="127">
        <v>0</v>
      </c>
      <c r="G1059" s="130" t="s">
        <v>82</v>
      </c>
    </row>
    <row r="1060" spans="2:7" x14ac:dyDescent="0.25">
      <c r="B1060" s="126" t="s">
        <v>76</v>
      </c>
      <c r="C1060" s="127">
        <v>16</v>
      </c>
      <c r="D1060" s="127" t="s">
        <v>86</v>
      </c>
      <c r="E1060" s="127">
        <v>1</v>
      </c>
      <c r="F1060" s="127">
        <v>0</v>
      </c>
      <c r="G1060" s="130" t="s">
        <v>94</v>
      </c>
    </row>
    <row r="1061" spans="2:7" x14ac:dyDescent="0.25">
      <c r="B1061" s="126" t="s">
        <v>76</v>
      </c>
      <c r="C1061" s="127">
        <v>16</v>
      </c>
      <c r="D1061" s="127" t="s">
        <v>79</v>
      </c>
      <c r="E1061" s="127">
        <v>1</v>
      </c>
      <c r="F1061" s="127">
        <v>0</v>
      </c>
      <c r="G1061" s="130" t="s">
        <v>161</v>
      </c>
    </row>
    <row r="1062" spans="2:7" x14ac:dyDescent="0.25">
      <c r="B1062" s="126" t="s">
        <v>76</v>
      </c>
      <c r="C1062" s="127">
        <v>16</v>
      </c>
      <c r="D1062" s="127" t="s">
        <v>88</v>
      </c>
      <c r="E1062" s="127">
        <v>3</v>
      </c>
      <c r="F1062" s="127">
        <v>1</v>
      </c>
      <c r="G1062" s="130" t="s">
        <v>172</v>
      </c>
    </row>
    <row r="1063" spans="2:7" x14ac:dyDescent="0.25">
      <c r="B1063" s="126" t="s">
        <v>76</v>
      </c>
      <c r="C1063" s="127">
        <v>16</v>
      </c>
      <c r="D1063" s="127" t="s">
        <v>93</v>
      </c>
      <c r="E1063" s="127">
        <v>3</v>
      </c>
      <c r="F1063" s="127">
        <v>2</v>
      </c>
      <c r="G1063" s="130" t="s">
        <v>92</v>
      </c>
    </row>
    <row r="1064" spans="2:7" x14ac:dyDescent="0.25">
      <c r="B1064" s="126" t="s">
        <v>76</v>
      </c>
      <c r="C1064" s="127">
        <v>16</v>
      </c>
      <c r="D1064" s="127" t="s">
        <v>83</v>
      </c>
      <c r="E1064" s="127">
        <v>1</v>
      </c>
      <c r="F1064" s="127">
        <v>0</v>
      </c>
      <c r="G1064" s="130" t="s">
        <v>87</v>
      </c>
    </row>
    <row r="1065" spans="2:7" x14ac:dyDescent="0.25">
      <c r="B1065" s="126" t="s">
        <v>76</v>
      </c>
      <c r="C1065" s="127">
        <v>17</v>
      </c>
      <c r="D1065" s="127" t="s">
        <v>82</v>
      </c>
      <c r="E1065" s="127">
        <v>3</v>
      </c>
      <c r="F1065" s="127">
        <v>1</v>
      </c>
      <c r="G1065" s="130" t="s">
        <v>173</v>
      </c>
    </row>
    <row r="1066" spans="2:7" x14ac:dyDescent="0.25">
      <c r="B1066" s="126" t="s">
        <v>76</v>
      </c>
      <c r="C1066" s="127">
        <v>17</v>
      </c>
      <c r="D1066" s="127" t="s">
        <v>161</v>
      </c>
      <c r="E1066" s="127">
        <v>1</v>
      </c>
      <c r="F1066" s="127">
        <v>0</v>
      </c>
      <c r="G1066" s="130" t="s">
        <v>85</v>
      </c>
    </row>
    <row r="1067" spans="2:7" x14ac:dyDescent="0.25">
      <c r="B1067" s="126" t="s">
        <v>76</v>
      </c>
      <c r="C1067" s="127">
        <v>17</v>
      </c>
      <c r="D1067" s="127" t="s">
        <v>87</v>
      </c>
      <c r="E1067" s="127">
        <v>2</v>
      </c>
      <c r="F1067" s="127">
        <v>2</v>
      </c>
      <c r="G1067" s="130" t="s">
        <v>90</v>
      </c>
    </row>
    <row r="1068" spans="2:7" x14ac:dyDescent="0.25">
      <c r="B1068" s="126" t="s">
        <v>76</v>
      </c>
      <c r="C1068" s="127">
        <v>17</v>
      </c>
      <c r="D1068" s="127" t="s">
        <v>84</v>
      </c>
      <c r="E1068" s="127">
        <v>2</v>
      </c>
      <c r="F1068" s="127">
        <v>2</v>
      </c>
      <c r="G1068" s="130" t="s">
        <v>93</v>
      </c>
    </row>
    <row r="1069" spans="2:7" x14ac:dyDescent="0.25">
      <c r="B1069" s="126" t="s">
        <v>76</v>
      </c>
      <c r="C1069" s="127">
        <v>17</v>
      </c>
      <c r="D1069" s="127" t="s">
        <v>92</v>
      </c>
      <c r="E1069" s="127">
        <v>3</v>
      </c>
      <c r="F1069" s="127">
        <v>3</v>
      </c>
      <c r="G1069" s="130" t="s">
        <v>91</v>
      </c>
    </row>
    <row r="1070" spans="2:7" x14ac:dyDescent="0.25">
      <c r="B1070" s="126" t="s">
        <v>76</v>
      </c>
      <c r="C1070" s="127">
        <v>17</v>
      </c>
      <c r="D1070" s="127" t="s">
        <v>94</v>
      </c>
      <c r="E1070" s="127">
        <v>0</v>
      </c>
      <c r="F1070" s="127">
        <v>1</v>
      </c>
      <c r="G1070" s="130" t="s">
        <v>79</v>
      </c>
    </row>
    <row r="1071" spans="2:7" x14ac:dyDescent="0.25">
      <c r="B1071" s="126" t="s">
        <v>76</v>
      </c>
      <c r="C1071" s="127">
        <v>17</v>
      </c>
      <c r="D1071" s="127" t="s">
        <v>80</v>
      </c>
      <c r="E1071" s="127">
        <v>2</v>
      </c>
      <c r="F1071" s="127">
        <v>1</v>
      </c>
      <c r="G1071" s="130" t="s">
        <v>86</v>
      </c>
    </row>
    <row r="1072" spans="2:7" x14ac:dyDescent="0.25">
      <c r="B1072" s="126" t="s">
        <v>76</v>
      </c>
      <c r="C1072" s="127">
        <v>17</v>
      </c>
      <c r="D1072" s="127" t="s">
        <v>172</v>
      </c>
      <c r="E1072" s="127">
        <v>4</v>
      </c>
      <c r="F1072" s="127">
        <v>4</v>
      </c>
      <c r="G1072" s="130" t="s">
        <v>83</v>
      </c>
    </row>
    <row r="1073" spans="2:7" x14ac:dyDescent="0.25">
      <c r="B1073" s="126" t="s">
        <v>76</v>
      </c>
      <c r="C1073" s="127">
        <v>17</v>
      </c>
      <c r="D1073" s="127" t="s">
        <v>81</v>
      </c>
      <c r="E1073" s="127">
        <v>2</v>
      </c>
      <c r="F1073" s="127">
        <v>3</v>
      </c>
      <c r="G1073" s="130" t="s">
        <v>88</v>
      </c>
    </row>
    <row r="1074" spans="2:7" x14ac:dyDescent="0.25">
      <c r="B1074" s="126" t="s">
        <v>76</v>
      </c>
      <c r="C1074" s="127">
        <v>18</v>
      </c>
      <c r="D1074" s="127" t="s">
        <v>83</v>
      </c>
      <c r="E1074" s="127">
        <v>1</v>
      </c>
      <c r="F1074" s="127">
        <v>3</v>
      </c>
      <c r="G1074" s="130" t="s">
        <v>79</v>
      </c>
    </row>
    <row r="1075" spans="2:7" x14ac:dyDescent="0.25">
      <c r="B1075" s="126" t="s">
        <v>76</v>
      </c>
      <c r="C1075" s="127">
        <v>18</v>
      </c>
      <c r="D1075" s="127" t="s">
        <v>87</v>
      </c>
      <c r="E1075" s="127">
        <v>1</v>
      </c>
      <c r="F1075" s="127">
        <v>1</v>
      </c>
      <c r="G1075" s="130" t="s">
        <v>86</v>
      </c>
    </row>
    <row r="1076" spans="2:7" x14ac:dyDescent="0.25">
      <c r="B1076" s="126" t="s">
        <v>76</v>
      </c>
      <c r="C1076" s="127">
        <v>18</v>
      </c>
      <c r="D1076" s="127" t="s">
        <v>94</v>
      </c>
      <c r="E1076" s="127">
        <v>1</v>
      </c>
      <c r="F1076" s="127">
        <v>0</v>
      </c>
      <c r="G1076" s="130" t="s">
        <v>88</v>
      </c>
    </row>
    <row r="1077" spans="2:7" x14ac:dyDescent="0.25">
      <c r="B1077" s="126" t="s">
        <v>76</v>
      </c>
      <c r="C1077" s="127">
        <v>18</v>
      </c>
      <c r="D1077" s="127" t="s">
        <v>84</v>
      </c>
      <c r="E1077" s="127">
        <v>1</v>
      </c>
      <c r="F1077" s="127">
        <v>1</v>
      </c>
      <c r="G1077" s="130" t="s">
        <v>91</v>
      </c>
    </row>
    <row r="1078" spans="2:7" x14ac:dyDescent="0.25">
      <c r="B1078" s="126" t="s">
        <v>76</v>
      </c>
      <c r="C1078" s="127">
        <v>18</v>
      </c>
      <c r="D1078" s="127" t="s">
        <v>92</v>
      </c>
      <c r="E1078" s="127">
        <v>1</v>
      </c>
      <c r="F1078" s="127">
        <v>0</v>
      </c>
      <c r="G1078" s="130" t="s">
        <v>173</v>
      </c>
    </row>
    <row r="1079" spans="2:7" x14ac:dyDescent="0.25">
      <c r="B1079" s="126" t="s">
        <v>76</v>
      </c>
      <c r="C1079" s="127">
        <v>18</v>
      </c>
      <c r="D1079" s="127" t="s">
        <v>172</v>
      </c>
      <c r="E1079" s="127">
        <v>3</v>
      </c>
      <c r="F1079" s="127">
        <v>2</v>
      </c>
      <c r="G1079" s="130" t="s">
        <v>90</v>
      </c>
    </row>
    <row r="1080" spans="2:7" x14ac:dyDescent="0.25">
      <c r="B1080" s="126" t="s">
        <v>76</v>
      </c>
      <c r="C1080" s="127">
        <v>18</v>
      </c>
      <c r="D1080" s="127" t="s">
        <v>81</v>
      </c>
      <c r="E1080" s="127">
        <v>3</v>
      </c>
      <c r="F1080" s="127">
        <v>1</v>
      </c>
      <c r="G1080" s="130" t="s">
        <v>93</v>
      </c>
    </row>
    <row r="1081" spans="2:7" x14ac:dyDescent="0.25">
      <c r="B1081" s="126" t="s">
        <v>76</v>
      </c>
      <c r="C1081" s="127">
        <v>18</v>
      </c>
      <c r="D1081" s="127" t="s">
        <v>161</v>
      </c>
      <c r="E1081" s="127">
        <v>2</v>
      </c>
      <c r="F1081" s="127">
        <v>1</v>
      </c>
      <c r="G1081" s="130" t="s">
        <v>82</v>
      </c>
    </row>
    <row r="1082" spans="2:7" x14ac:dyDescent="0.25">
      <c r="B1082" s="126" t="s">
        <v>76</v>
      </c>
      <c r="C1082" s="127">
        <v>18</v>
      </c>
      <c r="D1082" s="127" t="s">
        <v>80</v>
      </c>
      <c r="E1082" s="127">
        <v>0</v>
      </c>
      <c r="F1082" s="127">
        <v>0</v>
      </c>
      <c r="G1082" s="130" t="s">
        <v>85</v>
      </c>
    </row>
    <row r="1083" spans="2:7" x14ac:dyDescent="0.25">
      <c r="B1083" s="126" t="s">
        <v>76</v>
      </c>
      <c r="C1083" s="127">
        <v>19</v>
      </c>
      <c r="D1083" s="127" t="s">
        <v>88</v>
      </c>
      <c r="E1083" s="127">
        <v>1</v>
      </c>
      <c r="F1083" s="127">
        <v>1</v>
      </c>
      <c r="G1083" s="130" t="s">
        <v>80</v>
      </c>
    </row>
    <row r="1084" spans="2:7" x14ac:dyDescent="0.25">
      <c r="B1084" s="126" t="s">
        <v>76</v>
      </c>
      <c r="C1084" s="127">
        <v>19</v>
      </c>
      <c r="D1084" s="127" t="s">
        <v>91</v>
      </c>
      <c r="E1084" s="127">
        <v>2</v>
      </c>
      <c r="F1084" s="127">
        <v>1</v>
      </c>
      <c r="G1084" s="130" t="s">
        <v>81</v>
      </c>
    </row>
    <row r="1085" spans="2:7" x14ac:dyDescent="0.25">
      <c r="B1085" s="126" t="s">
        <v>76</v>
      </c>
      <c r="C1085" s="127">
        <v>19</v>
      </c>
      <c r="D1085" s="127" t="s">
        <v>85</v>
      </c>
      <c r="E1085" s="127">
        <v>1</v>
      </c>
      <c r="F1085" s="127">
        <v>3</v>
      </c>
      <c r="G1085" s="130" t="s">
        <v>84</v>
      </c>
    </row>
    <row r="1086" spans="2:7" x14ac:dyDescent="0.25">
      <c r="B1086" s="126" t="s">
        <v>76</v>
      </c>
      <c r="C1086" s="127">
        <v>19</v>
      </c>
      <c r="D1086" s="127" t="s">
        <v>86</v>
      </c>
      <c r="E1086" s="127">
        <v>1</v>
      </c>
      <c r="F1086" s="127">
        <v>4</v>
      </c>
      <c r="G1086" s="130" t="s">
        <v>83</v>
      </c>
    </row>
    <row r="1087" spans="2:7" x14ac:dyDescent="0.25">
      <c r="B1087" s="126" t="s">
        <v>76</v>
      </c>
      <c r="C1087" s="127">
        <v>19</v>
      </c>
      <c r="D1087" s="127" t="s">
        <v>82</v>
      </c>
      <c r="E1087" s="127">
        <v>2</v>
      </c>
      <c r="F1087" s="127">
        <v>0</v>
      </c>
      <c r="G1087" s="130" t="s">
        <v>92</v>
      </c>
    </row>
    <row r="1088" spans="2:7" x14ac:dyDescent="0.25">
      <c r="B1088" s="126" t="s">
        <v>76</v>
      </c>
      <c r="C1088" s="127">
        <v>19</v>
      </c>
      <c r="D1088" s="127" t="s">
        <v>90</v>
      </c>
      <c r="E1088" s="127">
        <v>3</v>
      </c>
      <c r="F1088" s="127">
        <v>2</v>
      </c>
      <c r="G1088" s="130" t="s">
        <v>94</v>
      </c>
    </row>
    <row r="1089" spans="2:7" x14ac:dyDescent="0.25">
      <c r="B1089" s="126" t="s">
        <v>76</v>
      </c>
      <c r="C1089" s="127">
        <v>19</v>
      </c>
      <c r="D1089" s="127" t="s">
        <v>173</v>
      </c>
      <c r="E1089" s="127">
        <v>0</v>
      </c>
      <c r="F1089" s="127">
        <v>2</v>
      </c>
      <c r="G1089" s="130" t="s">
        <v>161</v>
      </c>
    </row>
    <row r="1090" spans="2:7" x14ac:dyDescent="0.25">
      <c r="B1090" s="126" t="s">
        <v>76</v>
      </c>
      <c r="C1090" s="127">
        <v>19</v>
      </c>
      <c r="D1090" s="127" t="s">
        <v>79</v>
      </c>
      <c r="E1090" s="127">
        <v>4</v>
      </c>
      <c r="F1090" s="127">
        <v>2</v>
      </c>
      <c r="G1090" s="130" t="s">
        <v>87</v>
      </c>
    </row>
    <row r="1091" spans="2:7" x14ac:dyDescent="0.25">
      <c r="B1091" s="126" t="s">
        <v>76</v>
      </c>
      <c r="C1091" s="127">
        <v>19</v>
      </c>
      <c r="D1091" s="127" t="s">
        <v>93</v>
      </c>
      <c r="E1091" s="127">
        <v>1</v>
      </c>
      <c r="F1091" s="127">
        <v>1</v>
      </c>
      <c r="G1091" s="130" t="s">
        <v>172</v>
      </c>
    </row>
    <row r="1092" spans="2:7" x14ac:dyDescent="0.25">
      <c r="B1092" s="126" t="s">
        <v>76</v>
      </c>
      <c r="C1092" s="127">
        <v>20</v>
      </c>
      <c r="D1092" s="127" t="s">
        <v>84</v>
      </c>
      <c r="E1092" s="127">
        <v>2</v>
      </c>
      <c r="F1092" s="127">
        <v>0</v>
      </c>
      <c r="G1092" s="130" t="s">
        <v>82</v>
      </c>
    </row>
    <row r="1093" spans="2:7" x14ac:dyDescent="0.25">
      <c r="B1093" s="126" t="s">
        <v>76</v>
      </c>
      <c r="C1093" s="127">
        <v>20</v>
      </c>
      <c r="D1093" s="127" t="s">
        <v>79</v>
      </c>
      <c r="E1093" s="127">
        <v>5</v>
      </c>
      <c r="F1093" s="127">
        <v>2</v>
      </c>
      <c r="G1093" s="130" t="s">
        <v>86</v>
      </c>
    </row>
    <row r="1094" spans="2:7" x14ac:dyDescent="0.25">
      <c r="B1094" s="126" t="s">
        <v>76</v>
      </c>
      <c r="C1094" s="127">
        <v>20</v>
      </c>
      <c r="D1094" s="127" t="s">
        <v>80</v>
      </c>
      <c r="E1094" s="127">
        <v>2</v>
      </c>
      <c r="F1094" s="127">
        <v>2</v>
      </c>
      <c r="G1094" s="130" t="s">
        <v>91</v>
      </c>
    </row>
    <row r="1095" spans="2:7" x14ac:dyDescent="0.25">
      <c r="B1095" s="126" t="s">
        <v>76</v>
      </c>
      <c r="C1095" s="127">
        <v>20</v>
      </c>
      <c r="D1095" s="127" t="s">
        <v>94</v>
      </c>
      <c r="E1095" s="127">
        <v>0</v>
      </c>
      <c r="F1095" s="127">
        <v>2</v>
      </c>
      <c r="G1095" s="130" t="s">
        <v>93</v>
      </c>
    </row>
    <row r="1096" spans="2:7" x14ac:dyDescent="0.25">
      <c r="B1096" s="126" t="s">
        <v>76</v>
      </c>
      <c r="C1096" s="127">
        <v>20</v>
      </c>
      <c r="D1096" s="127" t="s">
        <v>161</v>
      </c>
      <c r="E1096" s="127">
        <v>1</v>
      </c>
      <c r="F1096" s="127">
        <v>1</v>
      </c>
      <c r="G1096" s="130" t="s">
        <v>92</v>
      </c>
    </row>
    <row r="1097" spans="2:7" x14ac:dyDescent="0.25">
      <c r="B1097" s="126" t="s">
        <v>76</v>
      </c>
      <c r="C1097" s="127">
        <v>20</v>
      </c>
      <c r="D1097" s="127" t="s">
        <v>81</v>
      </c>
      <c r="E1097" s="127">
        <v>1</v>
      </c>
      <c r="F1097" s="127">
        <v>1</v>
      </c>
      <c r="G1097" s="130" t="s">
        <v>173</v>
      </c>
    </row>
    <row r="1098" spans="2:7" x14ac:dyDescent="0.25">
      <c r="B1098" s="126" t="s">
        <v>76</v>
      </c>
      <c r="C1098" s="127">
        <v>20</v>
      </c>
      <c r="D1098" s="127" t="s">
        <v>87</v>
      </c>
      <c r="E1098" s="127">
        <v>0</v>
      </c>
      <c r="F1098" s="127">
        <v>0</v>
      </c>
      <c r="G1098" s="130" t="s">
        <v>88</v>
      </c>
    </row>
    <row r="1099" spans="2:7" x14ac:dyDescent="0.25">
      <c r="B1099" s="126" t="s">
        <v>76</v>
      </c>
      <c r="C1099" s="127">
        <v>20</v>
      </c>
      <c r="D1099" s="127" t="s">
        <v>83</v>
      </c>
      <c r="E1099" s="127">
        <v>2</v>
      </c>
      <c r="F1099" s="127">
        <v>0</v>
      </c>
      <c r="G1099" s="130" t="s">
        <v>90</v>
      </c>
    </row>
    <row r="1100" spans="2:7" x14ac:dyDescent="0.25">
      <c r="B1100" s="126" t="s">
        <v>76</v>
      </c>
      <c r="C1100" s="127">
        <v>20</v>
      </c>
      <c r="D1100" s="127" t="s">
        <v>172</v>
      </c>
      <c r="E1100" s="127">
        <v>0</v>
      </c>
      <c r="F1100" s="127">
        <v>1</v>
      </c>
      <c r="G1100" s="130" t="s">
        <v>85</v>
      </c>
    </row>
    <row r="1101" spans="2:7" x14ac:dyDescent="0.25">
      <c r="B1101" s="126" t="s">
        <v>76</v>
      </c>
      <c r="C1101" s="127">
        <v>21</v>
      </c>
      <c r="D1101" s="127" t="s">
        <v>161</v>
      </c>
      <c r="E1101" s="127">
        <v>2</v>
      </c>
      <c r="F1101" s="127">
        <v>3</v>
      </c>
      <c r="G1101" s="130" t="s">
        <v>80</v>
      </c>
    </row>
    <row r="1102" spans="2:7" x14ac:dyDescent="0.25">
      <c r="B1102" s="126" t="s">
        <v>76</v>
      </c>
      <c r="C1102" s="127">
        <v>21</v>
      </c>
      <c r="D1102" s="127" t="s">
        <v>90</v>
      </c>
      <c r="E1102" s="127">
        <v>0</v>
      </c>
      <c r="F1102" s="127">
        <v>2</v>
      </c>
      <c r="G1102" s="130" t="s">
        <v>79</v>
      </c>
    </row>
    <row r="1103" spans="2:7" x14ac:dyDescent="0.25">
      <c r="B1103" s="126" t="s">
        <v>76</v>
      </c>
      <c r="C1103" s="127">
        <v>21</v>
      </c>
      <c r="D1103" s="127" t="s">
        <v>88</v>
      </c>
      <c r="E1103" s="127">
        <v>1</v>
      </c>
      <c r="F1103" s="127">
        <v>1</v>
      </c>
      <c r="G1103" s="130" t="s">
        <v>86</v>
      </c>
    </row>
    <row r="1104" spans="2:7" x14ac:dyDescent="0.25">
      <c r="B1104" s="126" t="s">
        <v>76</v>
      </c>
      <c r="C1104" s="127">
        <v>21</v>
      </c>
      <c r="D1104" s="127" t="s">
        <v>93</v>
      </c>
      <c r="E1104" s="127">
        <v>1</v>
      </c>
      <c r="F1104" s="127">
        <v>2</v>
      </c>
      <c r="G1104" s="130" t="s">
        <v>87</v>
      </c>
    </row>
    <row r="1105" spans="2:7" x14ac:dyDescent="0.25">
      <c r="B1105" s="126" t="s">
        <v>76</v>
      </c>
      <c r="C1105" s="127">
        <v>21</v>
      </c>
      <c r="D1105" s="127" t="s">
        <v>91</v>
      </c>
      <c r="E1105" s="127">
        <v>0</v>
      </c>
      <c r="F1105" s="127">
        <v>0</v>
      </c>
      <c r="G1105" s="130" t="s">
        <v>83</v>
      </c>
    </row>
    <row r="1106" spans="2:7" x14ac:dyDescent="0.25">
      <c r="B1106" s="126" t="s">
        <v>76</v>
      </c>
      <c r="C1106" s="127">
        <v>21</v>
      </c>
      <c r="D1106" s="127" t="s">
        <v>85</v>
      </c>
      <c r="E1106" s="127">
        <v>1</v>
      </c>
      <c r="F1106" s="127">
        <v>1</v>
      </c>
      <c r="G1106" s="130" t="s">
        <v>94</v>
      </c>
    </row>
    <row r="1107" spans="2:7" x14ac:dyDescent="0.25">
      <c r="B1107" s="126" t="s">
        <v>76</v>
      </c>
      <c r="C1107" s="127">
        <v>21</v>
      </c>
      <c r="D1107" s="127" t="s">
        <v>82</v>
      </c>
      <c r="E1107" s="127">
        <v>0</v>
      </c>
      <c r="F1107" s="127">
        <v>1</v>
      </c>
      <c r="G1107" s="130" t="s">
        <v>81</v>
      </c>
    </row>
    <row r="1108" spans="2:7" x14ac:dyDescent="0.25">
      <c r="B1108" s="126" t="s">
        <v>76</v>
      </c>
      <c r="C1108" s="127">
        <v>21</v>
      </c>
      <c r="D1108" s="127" t="s">
        <v>92</v>
      </c>
      <c r="E1108" s="127">
        <v>3</v>
      </c>
      <c r="F1108" s="127">
        <v>0</v>
      </c>
      <c r="G1108" s="130" t="s">
        <v>84</v>
      </c>
    </row>
    <row r="1109" spans="2:7" x14ac:dyDescent="0.25">
      <c r="B1109" s="126" t="s">
        <v>76</v>
      </c>
      <c r="C1109" s="127">
        <v>21</v>
      </c>
      <c r="D1109" s="127" t="s">
        <v>173</v>
      </c>
      <c r="E1109" s="127">
        <v>1</v>
      </c>
      <c r="F1109" s="127">
        <v>1</v>
      </c>
      <c r="G1109" s="130" t="s">
        <v>172</v>
      </c>
    </row>
    <row r="1110" spans="2:7" x14ac:dyDescent="0.25">
      <c r="B1110" s="126" t="s">
        <v>76</v>
      </c>
      <c r="C1110" s="127">
        <v>22</v>
      </c>
      <c r="D1110" s="127" t="s">
        <v>81</v>
      </c>
      <c r="E1110" s="127">
        <v>2</v>
      </c>
      <c r="F1110" s="127">
        <v>0</v>
      </c>
      <c r="G1110" s="130" t="s">
        <v>92</v>
      </c>
    </row>
    <row r="1111" spans="2:7" x14ac:dyDescent="0.25">
      <c r="B1111" s="126" t="s">
        <v>76</v>
      </c>
      <c r="C1111" s="127">
        <v>22</v>
      </c>
      <c r="D1111" s="127" t="s">
        <v>84</v>
      </c>
      <c r="E1111" s="127">
        <v>4</v>
      </c>
      <c r="F1111" s="127">
        <v>2</v>
      </c>
      <c r="G1111" s="130" t="s">
        <v>161</v>
      </c>
    </row>
    <row r="1112" spans="2:7" x14ac:dyDescent="0.25">
      <c r="B1112" s="126" t="s">
        <v>76</v>
      </c>
      <c r="C1112" s="127">
        <v>22</v>
      </c>
      <c r="D1112" s="127" t="s">
        <v>83</v>
      </c>
      <c r="E1112" s="127">
        <v>0</v>
      </c>
      <c r="F1112" s="127">
        <v>2</v>
      </c>
      <c r="G1112" s="130" t="s">
        <v>88</v>
      </c>
    </row>
    <row r="1113" spans="2:7" x14ac:dyDescent="0.25">
      <c r="B1113" s="126" t="s">
        <v>76</v>
      </c>
      <c r="C1113" s="127">
        <v>22</v>
      </c>
      <c r="D1113" s="127" t="s">
        <v>172</v>
      </c>
      <c r="E1113" s="127">
        <v>2</v>
      </c>
      <c r="F1113" s="127">
        <v>1</v>
      </c>
      <c r="G1113" s="130" t="s">
        <v>91</v>
      </c>
    </row>
    <row r="1114" spans="2:7" x14ac:dyDescent="0.25">
      <c r="B1114" s="126" t="s">
        <v>76</v>
      </c>
      <c r="C1114" s="127">
        <v>22</v>
      </c>
      <c r="D1114" s="127" t="s">
        <v>80</v>
      </c>
      <c r="E1114" s="127">
        <v>2</v>
      </c>
      <c r="F1114" s="127">
        <v>0</v>
      </c>
      <c r="G1114" s="130" t="s">
        <v>173</v>
      </c>
    </row>
    <row r="1115" spans="2:7" x14ac:dyDescent="0.25">
      <c r="B1115" s="126" t="s">
        <v>76</v>
      </c>
      <c r="C1115" s="127">
        <v>22</v>
      </c>
      <c r="D1115" s="127" t="s">
        <v>86</v>
      </c>
      <c r="E1115" s="127">
        <v>4</v>
      </c>
      <c r="F1115" s="127">
        <v>2</v>
      </c>
      <c r="G1115" s="130" t="s">
        <v>90</v>
      </c>
    </row>
    <row r="1116" spans="2:7" x14ac:dyDescent="0.25">
      <c r="B1116" s="126" t="s">
        <v>76</v>
      </c>
      <c r="C1116" s="127">
        <v>22</v>
      </c>
      <c r="D1116" s="127" t="s">
        <v>79</v>
      </c>
      <c r="E1116" s="127">
        <v>2</v>
      </c>
      <c r="F1116" s="127">
        <v>1</v>
      </c>
      <c r="G1116" s="130" t="s">
        <v>93</v>
      </c>
    </row>
    <row r="1117" spans="2:7" x14ac:dyDescent="0.25">
      <c r="B1117" s="126" t="s">
        <v>76</v>
      </c>
      <c r="C1117" s="127">
        <v>22</v>
      </c>
      <c r="D1117" s="127" t="s">
        <v>94</v>
      </c>
      <c r="E1117" s="127">
        <v>1</v>
      </c>
      <c r="F1117" s="127">
        <v>0</v>
      </c>
      <c r="G1117" s="130" t="s">
        <v>82</v>
      </c>
    </row>
    <row r="1118" spans="2:7" x14ac:dyDescent="0.25">
      <c r="B1118" s="126" t="s">
        <v>76</v>
      </c>
      <c r="C1118" s="127">
        <v>22</v>
      </c>
      <c r="D1118" s="127" t="s">
        <v>87</v>
      </c>
      <c r="E1118" s="127">
        <v>3</v>
      </c>
      <c r="F1118" s="127">
        <v>1</v>
      </c>
      <c r="G1118" s="130" t="s">
        <v>85</v>
      </c>
    </row>
    <row r="1119" spans="2:7" x14ac:dyDescent="0.25">
      <c r="B1119" s="126" t="s">
        <v>76</v>
      </c>
      <c r="C1119" s="127">
        <v>23</v>
      </c>
      <c r="D1119" s="127" t="s">
        <v>88</v>
      </c>
      <c r="E1119" s="127">
        <v>0</v>
      </c>
      <c r="F1119" s="127">
        <v>2</v>
      </c>
      <c r="G1119" s="130" t="s">
        <v>90</v>
      </c>
    </row>
    <row r="1120" spans="2:7" x14ac:dyDescent="0.25">
      <c r="B1120" s="126" t="s">
        <v>76</v>
      </c>
      <c r="C1120" s="127">
        <v>23</v>
      </c>
      <c r="D1120" s="127" t="s">
        <v>85</v>
      </c>
      <c r="E1120" s="127">
        <v>1</v>
      </c>
      <c r="F1120" s="127">
        <v>2</v>
      </c>
      <c r="G1120" s="130" t="s">
        <v>79</v>
      </c>
    </row>
    <row r="1121" spans="2:7" x14ac:dyDescent="0.25">
      <c r="B1121" s="126" t="s">
        <v>76</v>
      </c>
      <c r="C1121" s="127">
        <v>23</v>
      </c>
      <c r="D1121" s="127" t="s">
        <v>91</v>
      </c>
      <c r="E1121" s="127">
        <v>1</v>
      </c>
      <c r="F1121" s="127">
        <v>0</v>
      </c>
      <c r="G1121" s="130" t="s">
        <v>87</v>
      </c>
    </row>
    <row r="1122" spans="2:7" x14ac:dyDescent="0.25">
      <c r="B1122" s="126" t="s">
        <v>76</v>
      </c>
      <c r="C1122" s="127">
        <v>23</v>
      </c>
      <c r="D1122" s="127" t="s">
        <v>173</v>
      </c>
      <c r="E1122" s="127">
        <v>1</v>
      </c>
      <c r="F1122" s="127">
        <v>2</v>
      </c>
      <c r="G1122" s="130" t="s">
        <v>83</v>
      </c>
    </row>
    <row r="1123" spans="2:7" x14ac:dyDescent="0.25">
      <c r="B1123" s="126" t="s">
        <v>76</v>
      </c>
      <c r="C1123" s="127">
        <v>23</v>
      </c>
      <c r="D1123" s="127" t="s">
        <v>161</v>
      </c>
      <c r="E1123" s="127">
        <v>1</v>
      </c>
      <c r="F1123" s="127">
        <v>1</v>
      </c>
      <c r="G1123" s="130" t="s">
        <v>172</v>
      </c>
    </row>
    <row r="1124" spans="2:7" x14ac:dyDescent="0.25">
      <c r="B1124" s="126" t="s">
        <v>76</v>
      </c>
      <c r="C1124" s="127">
        <v>23</v>
      </c>
      <c r="D1124" s="127" t="s">
        <v>93</v>
      </c>
      <c r="E1124" s="127">
        <v>2</v>
      </c>
      <c r="F1124" s="127">
        <v>1</v>
      </c>
      <c r="G1124" s="130" t="s">
        <v>86</v>
      </c>
    </row>
    <row r="1125" spans="2:7" x14ac:dyDescent="0.25">
      <c r="B1125" s="126" t="s">
        <v>76</v>
      </c>
      <c r="C1125" s="127">
        <v>23</v>
      </c>
      <c r="D1125" s="127" t="s">
        <v>92</v>
      </c>
      <c r="E1125" s="127">
        <v>0</v>
      </c>
      <c r="F1125" s="127">
        <v>1</v>
      </c>
      <c r="G1125" s="130" t="s">
        <v>94</v>
      </c>
    </row>
    <row r="1126" spans="2:7" x14ac:dyDescent="0.25">
      <c r="B1126" s="126" t="s">
        <v>76</v>
      </c>
      <c r="C1126" s="127">
        <v>23</v>
      </c>
      <c r="D1126" s="127" t="s">
        <v>82</v>
      </c>
      <c r="E1126" s="127">
        <v>0</v>
      </c>
      <c r="F1126" s="127">
        <v>1</v>
      </c>
      <c r="G1126" s="130" t="s">
        <v>80</v>
      </c>
    </row>
    <row r="1127" spans="2:7" x14ac:dyDescent="0.25">
      <c r="B1127" s="126" t="s">
        <v>76</v>
      </c>
      <c r="C1127" s="127">
        <v>23</v>
      </c>
      <c r="D1127" s="127" t="s">
        <v>84</v>
      </c>
      <c r="E1127" s="127">
        <v>2</v>
      </c>
      <c r="F1127" s="127">
        <v>1</v>
      </c>
      <c r="G1127" s="130" t="s">
        <v>81</v>
      </c>
    </row>
    <row r="1128" spans="2:7" x14ac:dyDescent="0.25">
      <c r="B1128" s="126" t="s">
        <v>76</v>
      </c>
      <c r="C1128" s="127">
        <v>24</v>
      </c>
      <c r="D1128" s="127" t="s">
        <v>90</v>
      </c>
      <c r="E1128" s="127">
        <v>1</v>
      </c>
      <c r="F1128" s="127">
        <v>1</v>
      </c>
      <c r="G1128" s="130" t="s">
        <v>85</v>
      </c>
    </row>
    <row r="1129" spans="2:7" x14ac:dyDescent="0.25">
      <c r="B1129" s="126" t="s">
        <v>76</v>
      </c>
      <c r="C1129" s="127">
        <v>24</v>
      </c>
      <c r="D1129" s="127" t="s">
        <v>79</v>
      </c>
      <c r="E1129" s="127">
        <v>0</v>
      </c>
      <c r="F1129" s="127">
        <v>0</v>
      </c>
      <c r="G1129" s="130" t="s">
        <v>88</v>
      </c>
    </row>
    <row r="1130" spans="2:7" x14ac:dyDescent="0.25">
      <c r="B1130" s="126" t="s">
        <v>76</v>
      </c>
      <c r="C1130" s="127">
        <v>24</v>
      </c>
      <c r="D1130" s="127" t="s">
        <v>86</v>
      </c>
      <c r="E1130" s="127">
        <v>1</v>
      </c>
      <c r="F1130" s="127">
        <v>1</v>
      </c>
      <c r="G1130" s="130" t="s">
        <v>91</v>
      </c>
    </row>
    <row r="1131" spans="2:7" x14ac:dyDescent="0.25">
      <c r="B1131" s="126" t="s">
        <v>76</v>
      </c>
      <c r="C1131" s="127">
        <v>24</v>
      </c>
      <c r="D1131" s="127" t="s">
        <v>172</v>
      </c>
      <c r="E1131" s="127">
        <v>0</v>
      </c>
      <c r="F1131" s="127">
        <v>1</v>
      </c>
      <c r="G1131" s="130" t="s">
        <v>82</v>
      </c>
    </row>
    <row r="1132" spans="2:7" x14ac:dyDescent="0.25">
      <c r="B1132" s="126" t="s">
        <v>76</v>
      </c>
      <c r="C1132" s="127">
        <v>24</v>
      </c>
      <c r="D1132" s="127" t="s">
        <v>94</v>
      </c>
      <c r="E1132" s="127">
        <v>1</v>
      </c>
      <c r="F1132" s="127">
        <v>0</v>
      </c>
      <c r="G1132" s="130" t="s">
        <v>84</v>
      </c>
    </row>
    <row r="1133" spans="2:7" x14ac:dyDescent="0.25">
      <c r="B1133" s="126" t="s">
        <v>76</v>
      </c>
      <c r="C1133" s="127">
        <v>24</v>
      </c>
      <c r="D1133" s="127" t="s">
        <v>87</v>
      </c>
      <c r="E1133" s="127">
        <v>1</v>
      </c>
      <c r="F1133" s="127">
        <v>0</v>
      </c>
      <c r="G1133" s="130" t="s">
        <v>173</v>
      </c>
    </row>
    <row r="1134" spans="2:7" x14ac:dyDescent="0.25">
      <c r="B1134" s="126" t="s">
        <v>76</v>
      </c>
      <c r="C1134" s="127">
        <v>24</v>
      </c>
      <c r="D1134" s="127" t="s">
        <v>83</v>
      </c>
      <c r="E1134" s="127">
        <v>0</v>
      </c>
      <c r="F1134" s="127">
        <v>2</v>
      </c>
      <c r="G1134" s="130" t="s">
        <v>93</v>
      </c>
    </row>
    <row r="1135" spans="2:7" x14ac:dyDescent="0.25">
      <c r="B1135" s="126" t="s">
        <v>76</v>
      </c>
      <c r="C1135" s="127">
        <v>24</v>
      </c>
      <c r="D1135" s="127" t="s">
        <v>81</v>
      </c>
      <c r="E1135" s="127">
        <v>1</v>
      </c>
      <c r="F1135" s="127">
        <v>2</v>
      </c>
      <c r="G1135" s="130" t="s">
        <v>161</v>
      </c>
    </row>
    <row r="1136" spans="2:7" x14ac:dyDescent="0.25">
      <c r="B1136" s="126" t="s">
        <v>76</v>
      </c>
      <c r="C1136" s="127">
        <v>24</v>
      </c>
      <c r="D1136" s="127" t="s">
        <v>80</v>
      </c>
      <c r="E1136" s="127">
        <v>1</v>
      </c>
      <c r="F1136" s="127">
        <v>1</v>
      </c>
      <c r="G1136" s="130" t="s">
        <v>92</v>
      </c>
    </row>
    <row r="1137" spans="2:7" x14ac:dyDescent="0.25">
      <c r="B1137" s="126" t="s">
        <v>76</v>
      </c>
      <c r="C1137" s="127">
        <v>25</v>
      </c>
      <c r="D1137" s="127" t="s">
        <v>82</v>
      </c>
      <c r="E1137" s="127">
        <v>2</v>
      </c>
      <c r="F1137" s="127">
        <v>2</v>
      </c>
      <c r="G1137" s="130" t="s">
        <v>87</v>
      </c>
    </row>
    <row r="1138" spans="2:7" x14ac:dyDescent="0.25">
      <c r="B1138" s="126" t="s">
        <v>76</v>
      </c>
      <c r="C1138" s="127">
        <v>25</v>
      </c>
      <c r="D1138" s="127" t="s">
        <v>93</v>
      </c>
      <c r="E1138" s="127">
        <v>1</v>
      </c>
      <c r="F1138" s="127">
        <v>0</v>
      </c>
      <c r="G1138" s="130" t="s">
        <v>88</v>
      </c>
    </row>
    <row r="1139" spans="2:7" x14ac:dyDescent="0.25">
      <c r="B1139" s="126" t="s">
        <v>76</v>
      </c>
      <c r="C1139" s="127">
        <v>25</v>
      </c>
      <c r="D1139" s="127" t="s">
        <v>84</v>
      </c>
      <c r="E1139" s="127">
        <v>1</v>
      </c>
      <c r="F1139" s="127">
        <v>0</v>
      </c>
      <c r="G1139" s="130" t="s">
        <v>172</v>
      </c>
    </row>
    <row r="1140" spans="2:7" x14ac:dyDescent="0.25">
      <c r="B1140" s="126" t="s">
        <v>76</v>
      </c>
      <c r="C1140" s="127">
        <v>25</v>
      </c>
      <c r="D1140" s="127" t="s">
        <v>92</v>
      </c>
      <c r="E1140" s="127">
        <v>0</v>
      </c>
      <c r="F1140" s="127">
        <v>2</v>
      </c>
      <c r="G1140" s="130" t="s">
        <v>86</v>
      </c>
    </row>
    <row r="1141" spans="2:7" x14ac:dyDescent="0.25">
      <c r="B1141" s="126" t="s">
        <v>76</v>
      </c>
      <c r="C1141" s="127">
        <v>25</v>
      </c>
      <c r="D1141" s="127" t="s">
        <v>173</v>
      </c>
      <c r="E1141" s="127">
        <v>0</v>
      </c>
      <c r="F1141" s="127">
        <v>0</v>
      </c>
      <c r="G1141" s="130" t="s">
        <v>90</v>
      </c>
    </row>
    <row r="1142" spans="2:7" x14ac:dyDescent="0.25">
      <c r="B1142" s="126" t="s">
        <v>76</v>
      </c>
      <c r="C1142" s="127">
        <v>25</v>
      </c>
      <c r="D1142" s="127" t="s">
        <v>85</v>
      </c>
      <c r="E1142" s="127">
        <v>1</v>
      </c>
      <c r="F1142" s="127">
        <v>2</v>
      </c>
      <c r="G1142" s="130" t="s">
        <v>83</v>
      </c>
    </row>
    <row r="1143" spans="2:7" x14ac:dyDescent="0.25">
      <c r="B1143" s="126" t="s">
        <v>76</v>
      </c>
      <c r="C1143" s="127">
        <v>25</v>
      </c>
      <c r="D1143" s="127" t="s">
        <v>81</v>
      </c>
      <c r="E1143" s="127">
        <v>1</v>
      </c>
      <c r="F1143" s="127">
        <v>1</v>
      </c>
      <c r="G1143" s="130" t="s">
        <v>80</v>
      </c>
    </row>
    <row r="1144" spans="2:7" x14ac:dyDescent="0.25">
      <c r="B1144" s="126" t="s">
        <v>76</v>
      </c>
      <c r="C1144" s="127">
        <v>25</v>
      </c>
      <c r="D1144" s="127" t="s">
        <v>161</v>
      </c>
      <c r="E1144" s="127">
        <v>2</v>
      </c>
      <c r="F1144" s="127">
        <v>3</v>
      </c>
      <c r="G1144" s="130" t="s">
        <v>94</v>
      </c>
    </row>
    <row r="1145" spans="2:7" x14ac:dyDescent="0.25">
      <c r="B1145" s="126" t="s">
        <v>76</v>
      </c>
      <c r="C1145" s="127">
        <v>25</v>
      </c>
      <c r="D1145" s="127" t="s">
        <v>91</v>
      </c>
      <c r="E1145" s="127">
        <v>0</v>
      </c>
      <c r="F1145" s="127">
        <v>4</v>
      </c>
      <c r="G1145" s="130" t="s">
        <v>79</v>
      </c>
    </row>
    <row r="1146" spans="2:7" x14ac:dyDescent="0.25">
      <c r="B1146" s="126" t="s">
        <v>76</v>
      </c>
      <c r="C1146" s="127">
        <v>26</v>
      </c>
      <c r="D1146" s="127" t="s">
        <v>90</v>
      </c>
      <c r="E1146" s="127">
        <v>0</v>
      </c>
      <c r="F1146" s="127">
        <v>1</v>
      </c>
      <c r="G1146" s="130" t="s">
        <v>93</v>
      </c>
    </row>
    <row r="1147" spans="2:7" x14ac:dyDescent="0.25">
      <c r="B1147" s="126" t="s">
        <v>76</v>
      </c>
      <c r="C1147" s="127">
        <v>26</v>
      </c>
      <c r="D1147" s="127" t="s">
        <v>88</v>
      </c>
      <c r="E1147" s="127">
        <v>0</v>
      </c>
      <c r="F1147" s="127">
        <v>0</v>
      </c>
      <c r="G1147" s="130" t="s">
        <v>91</v>
      </c>
    </row>
    <row r="1148" spans="2:7" x14ac:dyDescent="0.25">
      <c r="B1148" s="126" t="s">
        <v>76</v>
      </c>
      <c r="C1148" s="127">
        <v>26</v>
      </c>
      <c r="D1148" s="127" t="s">
        <v>172</v>
      </c>
      <c r="E1148" s="127">
        <v>1</v>
      </c>
      <c r="F1148" s="127">
        <v>3</v>
      </c>
      <c r="G1148" s="130" t="s">
        <v>92</v>
      </c>
    </row>
    <row r="1149" spans="2:7" x14ac:dyDescent="0.25">
      <c r="B1149" s="126" t="s">
        <v>76</v>
      </c>
      <c r="C1149" s="127">
        <v>26</v>
      </c>
      <c r="D1149" s="127" t="s">
        <v>79</v>
      </c>
      <c r="E1149" s="127">
        <v>6</v>
      </c>
      <c r="F1149" s="127">
        <v>0</v>
      </c>
      <c r="G1149" s="130" t="s">
        <v>173</v>
      </c>
    </row>
    <row r="1150" spans="2:7" x14ac:dyDescent="0.25">
      <c r="B1150" s="126" t="s">
        <v>76</v>
      </c>
      <c r="C1150" s="127">
        <v>26</v>
      </c>
      <c r="D1150" s="127" t="s">
        <v>86</v>
      </c>
      <c r="E1150" s="127">
        <v>3</v>
      </c>
      <c r="F1150" s="127">
        <v>0</v>
      </c>
      <c r="G1150" s="130" t="s">
        <v>85</v>
      </c>
    </row>
    <row r="1151" spans="2:7" x14ac:dyDescent="0.25">
      <c r="B1151" s="126" t="s">
        <v>76</v>
      </c>
      <c r="C1151" s="127">
        <v>26</v>
      </c>
      <c r="D1151" s="127" t="s">
        <v>83</v>
      </c>
      <c r="E1151" s="127">
        <v>2</v>
      </c>
      <c r="F1151" s="127">
        <v>0</v>
      </c>
      <c r="G1151" s="130" t="s">
        <v>82</v>
      </c>
    </row>
    <row r="1152" spans="2:7" x14ac:dyDescent="0.25">
      <c r="B1152" s="126" t="s">
        <v>76</v>
      </c>
      <c r="C1152" s="127">
        <v>26</v>
      </c>
      <c r="D1152" s="127" t="s">
        <v>94</v>
      </c>
      <c r="E1152" s="127">
        <v>0</v>
      </c>
      <c r="F1152" s="127">
        <v>0</v>
      </c>
      <c r="G1152" s="130" t="s">
        <v>81</v>
      </c>
    </row>
    <row r="1153" spans="2:7" x14ac:dyDescent="0.25">
      <c r="B1153" s="126" t="s">
        <v>76</v>
      </c>
      <c r="C1153" s="127">
        <v>26</v>
      </c>
      <c r="D1153" s="127" t="s">
        <v>80</v>
      </c>
      <c r="E1153" s="127">
        <v>3</v>
      </c>
      <c r="F1153" s="127">
        <v>2</v>
      </c>
      <c r="G1153" s="130" t="s">
        <v>84</v>
      </c>
    </row>
    <row r="1154" spans="2:7" x14ac:dyDescent="0.25">
      <c r="B1154" s="126" t="s">
        <v>76</v>
      </c>
      <c r="C1154" s="127">
        <v>26</v>
      </c>
      <c r="D1154" s="127" t="s">
        <v>87</v>
      </c>
      <c r="E1154" s="127">
        <v>3</v>
      </c>
      <c r="F1154" s="127">
        <v>1</v>
      </c>
      <c r="G1154" s="130" t="s">
        <v>161</v>
      </c>
    </row>
    <row r="1155" spans="2:7" x14ac:dyDescent="0.25">
      <c r="B1155" s="126" t="s">
        <v>76</v>
      </c>
      <c r="C1155" s="127">
        <v>27</v>
      </c>
      <c r="D1155" s="127" t="s">
        <v>91</v>
      </c>
      <c r="E1155" s="127">
        <v>1</v>
      </c>
      <c r="F1155" s="127">
        <v>2</v>
      </c>
      <c r="G1155" s="130" t="s">
        <v>94</v>
      </c>
    </row>
    <row r="1156" spans="2:7" x14ac:dyDescent="0.25">
      <c r="B1156" s="126" t="s">
        <v>76</v>
      </c>
      <c r="C1156" s="127">
        <v>27</v>
      </c>
      <c r="D1156" s="127" t="s">
        <v>82</v>
      </c>
      <c r="E1156" s="127">
        <v>3</v>
      </c>
      <c r="F1156" s="127">
        <v>3</v>
      </c>
      <c r="G1156" s="130" t="s">
        <v>86</v>
      </c>
    </row>
    <row r="1157" spans="2:7" x14ac:dyDescent="0.25">
      <c r="B1157" s="126" t="s">
        <v>76</v>
      </c>
      <c r="C1157" s="127">
        <v>27</v>
      </c>
      <c r="D1157" s="127" t="s">
        <v>173</v>
      </c>
      <c r="E1157" s="127">
        <v>1</v>
      </c>
      <c r="F1157" s="127">
        <v>2</v>
      </c>
      <c r="G1157" s="130" t="s">
        <v>88</v>
      </c>
    </row>
    <row r="1158" spans="2:7" x14ac:dyDescent="0.25">
      <c r="B1158" s="126" t="s">
        <v>76</v>
      </c>
      <c r="C1158" s="127">
        <v>27</v>
      </c>
      <c r="D1158" s="127" t="s">
        <v>92</v>
      </c>
      <c r="E1158" s="127">
        <v>1</v>
      </c>
      <c r="F1158" s="127">
        <v>3</v>
      </c>
      <c r="G1158" s="130" t="s">
        <v>87</v>
      </c>
    </row>
    <row r="1159" spans="2:7" x14ac:dyDescent="0.25">
      <c r="B1159" s="126" t="s">
        <v>76</v>
      </c>
      <c r="C1159" s="127">
        <v>27</v>
      </c>
      <c r="D1159" s="127" t="s">
        <v>84</v>
      </c>
      <c r="E1159" s="127">
        <v>3</v>
      </c>
      <c r="F1159" s="127">
        <v>0</v>
      </c>
      <c r="G1159" s="130" t="s">
        <v>90</v>
      </c>
    </row>
    <row r="1160" spans="2:7" x14ac:dyDescent="0.25">
      <c r="B1160" s="126" t="s">
        <v>76</v>
      </c>
      <c r="C1160" s="127">
        <v>27</v>
      </c>
      <c r="D1160" s="127" t="s">
        <v>85</v>
      </c>
      <c r="E1160" s="127">
        <v>0</v>
      </c>
      <c r="F1160" s="127">
        <v>1</v>
      </c>
      <c r="G1160" s="130" t="s">
        <v>93</v>
      </c>
    </row>
    <row r="1161" spans="2:7" x14ac:dyDescent="0.25">
      <c r="B1161" s="126" t="s">
        <v>76</v>
      </c>
      <c r="C1161" s="127">
        <v>27</v>
      </c>
      <c r="D1161" s="127" t="s">
        <v>80</v>
      </c>
      <c r="E1161" s="127">
        <v>1</v>
      </c>
      <c r="F1161" s="127">
        <v>0</v>
      </c>
      <c r="G1161" s="130" t="s">
        <v>172</v>
      </c>
    </row>
    <row r="1162" spans="2:7" x14ac:dyDescent="0.25">
      <c r="B1162" s="126" t="s">
        <v>76</v>
      </c>
      <c r="C1162" s="127">
        <v>27</v>
      </c>
      <c r="D1162" s="127" t="s">
        <v>161</v>
      </c>
      <c r="E1162" s="127">
        <v>2</v>
      </c>
      <c r="F1162" s="127">
        <v>0</v>
      </c>
      <c r="G1162" s="130" t="s">
        <v>83</v>
      </c>
    </row>
    <row r="1163" spans="2:7" x14ac:dyDescent="0.25">
      <c r="B1163" s="126" t="s">
        <v>76</v>
      </c>
      <c r="C1163" s="127">
        <v>27</v>
      </c>
      <c r="D1163" s="127" t="s">
        <v>81</v>
      </c>
      <c r="E1163" s="127">
        <v>2</v>
      </c>
      <c r="F1163" s="127">
        <v>1</v>
      </c>
      <c r="G1163" s="130" t="s">
        <v>79</v>
      </c>
    </row>
    <row r="1164" spans="2:7" x14ac:dyDescent="0.25">
      <c r="B1164" s="126" t="s">
        <v>76</v>
      </c>
      <c r="C1164" s="127">
        <v>28</v>
      </c>
      <c r="D1164" s="127" t="s">
        <v>172</v>
      </c>
      <c r="E1164" s="127">
        <v>2</v>
      </c>
      <c r="F1164" s="127">
        <v>3</v>
      </c>
      <c r="G1164" s="130" t="s">
        <v>81</v>
      </c>
    </row>
    <row r="1165" spans="2:7" x14ac:dyDescent="0.25">
      <c r="B1165" s="126" t="s">
        <v>76</v>
      </c>
      <c r="C1165" s="127">
        <v>28</v>
      </c>
      <c r="D1165" s="127" t="s">
        <v>86</v>
      </c>
      <c r="E1165" s="127">
        <v>6</v>
      </c>
      <c r="F1165" s="127">
        <v>0</v>
      </c>
      <c r="G1165" s="130" t="s">
        <v>161</v>
      </c>
    </row>
    <row r="1166" spans="2:7" x14ac:dyDescent="0.25">
      <c r="B1166" s="126" t="s">
        <v>76</v>
      </c>
      <c r="C1166" s="127">
        <v>28</v>
      </c>
      <c r="D1166" s="127" t="s">
        <v>93</v>
      </c>
      <c r="E1166" s="127">
        <v>2</v>
      </c>
      <c r="F1166" s="127">
        <v>0</v>
      </c>
      <c r="G1166" s="130" t="s">
        <v>91</v>
      </c>
    </row>
    <row r="1167" spans="2:7" x14ac:dyDescent="0.25">
      <c r="B1167" s="126" t="s">
        <v>76</v>
      </c>
      <c r="C1167" s="127">
        <v>28</v>
      </c>
      <c r="D1167" s="127" t="s">
        <v>83</v>
      </c>
      <c r="E1167" s="127">
        <v>0</v>
      </c>
      <c r="F1167" s="127">
        <v>0</v>
      </c>
      <c r="G1167" s="130" t="s">
        <v>92</v>
      </c>
    </row>
    <row r="1168" spans="2:7" x14ac:dyDescent="0.25">
      <c r="B1168" s="126" t="s">
        <v>76</v>
      </c>
      <c r="C1168" s="127">
        <v>28</v>
      </c>
      <c r="D1168" s="127" t="s">
        <v>94</v>
      </c>
      <c r="E1168" s="127">
        <v>1</v>
      </c>
      <c r="F1168" s="127">
        <v>1</v>
      </c>
      <c r="G1168" s="130" t="s">
        <v>173</v>
      </c>
    </row>
    <row r="1169" spans="2:7" x14ac:dyDescent="0.25">
      <c r="B1169" s="126" t="s">
        <v>76</v>
      </c>
      <c r="C1169" s="127">
        <v>28</v>
      </c>
      <c r="D1169" s="127" t="s">
        <v>79</v>
      </c>
      <c r="E1169" s="127">
        <v>6</v>
      </c>
      <c r="F1169" s="127">
        <v>0</v>
      </c>
      <c r="G1169" s="130" t="s">
        <v>80</v>
      </c>
    </row>
    <row r="1170" spans="2:7" x14ac:dyDescent="0.25">
      <c r="B1170" s="126" t="s">
        <v>76</v>
      </c>
      <c r="C1170" s="127">
        <v>28</v>
      </c>
      <c r="D1170" s="127" t="s">
        <v>88</v>
      </c>
      <c r="E1170" s="127">
        <v>0</v>
      </c>
      <c r="F1170" s="127">
        <v>0</v>
      </c>
      <c r="G1170" s="130" t="s">
        <v>85</v>
      </c>
    </row>
    <row r="1171" spans="2:7" x14ac:dyDescent="0.25">
      <c r="B1171" s="126" t="s">
        <v>76</v>
      </c>
      <c r="C1171" s="127">
        <v>28</v>
      </c>
      <c r="D1171" s="127" t="s">
        <v>87</v>
      </c>
      <c r="E1171" s="127">
        <v>2</v>
      </c>
      <c r="F1171" s="127">
        <v>1</v>
      </c>
      <c r="G1171" s="130" t="s">
        <v>84</v>
      </c>
    </row>
    <row r="1172" spans="2:7" x14ac:dyDescent="0.25">
      <c r="B1172" s="126" t="s">
        <v>76</v>
      </c>
      <c r="C1172" s="127">
        <v>28</v>
      </c>
      <c r="D1172" s="127" t="s">
        <v>90</v>
      </c>
      <c r="E1172" s="127">
        <v>0</v>
      </c>
      <c r="F1172" s="127">
        <v>0</v>
      </c>
      <c r="G1172" s="130" t="s">
        <v>82</v>
      </c>
    </row>
    <row r="1173" spans="2:7" x14ac:dyDescent="0.25">
      <c r="B1173" s="126" t="s">
        <v>76</v>
      </c>
      <c r="C1173" s="127">
        <v>29</v>
      </c>
      <c r="D1173" s="127" t="s">
        <v>172</v>
      </c>
      <c r="E1173" s="127">
        <v>2</v>
      </c>
      <c r="F1173" s="127">
        <v>1</v>
      </c>
      <c r="G1173" s="130" t="s">
        <v>87</v>
      </c>
    </row>
    <row r="1174" spans="2:7" x14ac:dyDescent="0.25">
      <c r="B1174" s="126" t="s">
        <v>76</v>
      </c>
      <c r="C1174" s="127">
        <v>29</v>
      </c>
      <c r="D1174" s="127" t="s">
        <v>92</v>
      </c>
      <c r="E1174" s="127">
        <v>1</v>
      </c>
      <c r="F1174" s="127">
        <v>4</v>
      </c>
      <c r="G1174" s="130" t="s">
        <v>79</v>
      </c>
    </row>
    <row r="1175" spans="2:7" x14ac:dyDescent="0.25">
      <c r="B1175" s="126" t="s">
        <v>76</v>
      </c>
      <c r="C1175" s="127">
        <v>29</v>
      </c>
      <c r="D1175" s="127" t="s">
        <v>82</v>
      </c>
      <c r="E1175" s="127">
        <v>2</v>
      </c>
      <c r="F1175" s="127">
        <v>1</v>
      </c>
      <c r="G1175" s="130" t="s">
        <v>88</v>
      </c>
    </row>
    <row r="1176" spans="2:7" x14ac:dyDescent="0.25">
      <c r="B1176" s="126" t="s">
        <v>76</v>
      </c>
      <c r="C1176" s="127">
        <v>29</v>
      </c>
      <c r="D1176" s="127" t="s">
        <v>161</v>
      </c>
      <c r="E1176" s="127">
        <v>1</v>
      </c>
      <c r="F1176" s="127">
        <v>1</v>
      </c>
      <c r="G1176" s="130" t="s">
        <v>90</v>
      </c>
    </row>
    <row r="1177" spans="2:7" x14ac:dyDescent="0.25">
      <c r="B1177" s="126" t="s">
        <v>76</v>
      </c>
      <c r="C1177" s="127">
        <v>29</v>
      </c>
      <c r="D1177" s="127" t="s">
        <v>91</v>
      </c>
      <c r="E1177" s="127">
        <v>0</v>
      </c>
      <c r="F1177" s="127">
        <v>2</v>
      </c>
      <c r="G1177" s="130" t="s">
        <v>85</v>
      </c>
    </row>
    <row r="1178" spans="2:7" x14ac:dyDescent="0.25">
      <c r="B1178" s="126" t="s">
        <v>76</v>
      </c>
      <c r="C1178" s="127">
        <v>29</v>
      </c>
      <c r="D1178" s="127" t="s">
        <v>173</v>
      </c>
      <c r="E1178" s="127">
        <v>3</v>
      </c>
      <c r="F1178" s="127">
        <v>2</v>
      </c>
      <c r="G1178" s="130" t="s">
        <v>93</v>
      </c>
    </row>
    <row r="1179" spans="2:7" x14ac:dyDescent="0.25">
      <c r="B1179" s="126" t="s">
        <v>76</v>
      </c>
      <c r="C1179" s="127">
        <v>29</v>
      </c>
      <c r="D1179" s="127" t="s">
        <v>80</v>
      </c>
      <c r="E1179" s="127">
        <v>3</v>
      </c>
      <c r="F1179" s="127">
        <v>0</v>
      </c>
      <c r="G1179" s="130" t="s">
        <v>94</v>
      </c>
    </row>
    <row r="1180" spans="2:7" x14ac:dyDescent="0.25">
      <c r="B1180" s="126" t="s">
        <v>76</v>
      </c>
      <c r="C1180" s="127">
        <v>29</v>
      </c>
      <c r="D1180" s="127" t="s">
        <v>84</v>
      </c>
      <c r="E1180" s="127">
        <v>1</v>
      </c>
      <c r="F1180" s="127">
        <v>1</v>
      </c>
      <c r="G1180" s="130" t="s">
        <v>86</v>
      </c>
    </row>
    <row r="1181" spans="2:7" x14ac:dyDescent="0.25">
      <c r="B1181" s="126" t="s">
        <v>76</v>
      </c>
      <c r="C1181" s="127">
        <v>29</v>
      </c>
      <c r="D1181" s="127" t="s">
        <v>81</v>
      </c>
      <c r="E1181" s="127">
        <v>1</v>
      </c>
      <c r="F1181" s="127">
        <v>4</v>
      </c>
      <c r="G1181" s="130" t="s">
        <v>83</v>
      </c>
    </row>
    <row r="1182" spans="2:7" x14ac:dyDescent="0.25">
      <c r="B1182" s="126" t="s">
        <v>76</v>
      </c>
      <c r="C1182" s="127">
        <v>30</v>
      </c>
      <c r="D1182" s="127" t="s">
        <v>85</v>
      </c>
      <c r="E1182" s="127">
        <v>0</v>
      </c>
      <c r="F1182" s="127">
        <v>0</v>
      </c>
      <c r="G1182" s="130" t="s">
        <v>92</v>
      </c>
    </row>
    <row r="1183" spans="2:7" x14ac:dyDescent="0.25">
      <c r="B1183" s="126" t="s">
        <v>76</v>
      </c>
      <c r="C1183" s="127">
        <v>30</v>
      </c>
      <c r="D1183" s="127" t="s">
        <v>88</v>
      </c>
      <c r="E1183" s="127">
        <v>2</v>
      </c>
      <c r="F1183" s="127">
        <v>1</v>
      </c>
      <c r="G1183" s="130" t="s">
        <v>161</v>
      </c>
    </row>
    <row r="1184" spans="2:7" x14ac:dyDescent="0.25">
      <c r="B1184" s="126" t="s">
        <v>76</v>
      </c>
      <c r="C1184" s="127">
        <v>30</v>
      </c>
      <c r="D1184" s="127" t="s">
        <v>83</v>
      </c>
      <c r="E1184" s="127">
        <v>4</v>
      </c>
      <c r="F1184" s="127">
        <v>1</v>
      </c>
      <c r="G1184" s="130" t="s">
        <v>84</v>
      </c>
    </row>
    <row r="1185" spans="2:7" x14ac:dyDescent="0.25">
      <c r="B1185" s="126" t="s">
        <v>76</v>
      </c>
      <c r="C1185" s="127">
        <v>30</v>
      </c>
      <c r="D1185" s="127" t="s">
        <v>86</v>
      </c>
      <c r="E1185" s="127">
        <v>2</v>
      </c>
      <c r="F1185" s="127">
        <v>0</v>
      </c>
      <c r="G1185" s="130" t="s">
        <v>173</v>
      </c>
    </row>
    <row r="1186" spans="2:7" x14ac:dyDescent="0.25">
      <c r="B1186" s="126" t="s">
        <v>76</v>
      </c>
      <c r="C1186" s="127">
        <v>30</v>
      </c>
      <c r="D1186" s="127" t="s">
        <v>94</v>
      </c>
      <c r="E1186" s="127">
        <v>1</v>
      </c>
      <c r="F1186" s="127">
        <v>1</v>
      </c>
      <c r="G1186" s="130" t="s">
        <v>172</v>
      </c>
    </row>
    <row r="1187" spans="2:7" x14ac:dyDescent="0.25">
      <c r="B1187" s="126" t="s">
        <v>76</v>
      </c>
      <c r="C1187" s="127">
        <v>30</v>
      </c>
      <c r="D1187" s="127" t="s">
        <v>79</v>
      </c>
      <c r="E1187" s="127">
        <v>5</v>
      </c>
      <c r="F1187" s="127">
        <v>1</v>
      </c>
      <c r="G1187" s="130" t="s">
        <v>82</v>
      </c>
    </row>
    <row r="1188" spans="2:7" x14ac:dyDescent="0.25">
      <c r="B1188" s="126" t="s">
        <v>76</v>
      </c>
      <c r="C1188" s="127">
        <v>30</v>
      </c>
      <c r="D1188" s="127" t="s">
        <v>93</v>
      </c>
      <c r="E1188" s="127">
        <v>2</v>
      </c>
      <c r="F1188" s="127">
        <v>0</v>
      </c>
      <c r="G1188" s="130" t="s">
        <v>80</v>
      </c>
    </row>
    <row r="1189" spans="2:7" x14ac:dyDescent="0.25">
      <c r="B1189" s="126" t="s">
        <v>76</v>
      </c>
      <c r="C1189" s="127">
        <v>30</v>
      </c>
      <c r="D1189" s="127" t="s">
        <v>87</v>
      </c>
      <c r="E1189" s="127">
        <v>1</v>
      </c>
      <c r="F1189" s="127">
        <v>1</v>
      </c>
      <c r="G1189" s="130" t="s">
        <v>81</v>
      </c>
    </row>
    <row r="1190" spans="2:7" x14ac:dyDescent="0.25">
      <c r="B1190" s="126" t="s">
        <v>76</v>
      </c>
      <c r="C1190" s="127">
        <v>30</v>
      </c>
      <c r="D1190" s="127" t="s">
        <v>90</v>
      </c>
      <c r="E1190" s="127">
        <v>2</v>
      </c>
      <c r="F1190" s="127">
        <v>0</v>
      </c>
      <c r="G1190" s="130" t="s">
        <v>91</v>
      </c>
    </row>
    <row r="1191" spans="2:7" x14ac:dyDescent="0.25">
      <c r="B1191" s="126" t="s">
        <v>76</v>
      </c>
      <c r="C1191" s="127">
        <v>31</v>
      </c>
      <c r="D1191" s="127" t="s">
        <v>82</v>
      </c>
      <c r="E1191" s="127">
        <v>3</v>
      </c>
      <c r="F1191" s="127">
        <v>0</v>
      </c>
      <c r="G1191" s="130" t="s">
        <v>85</v>
      </c>
    </row>
    <row r="1192" spans="2:7" x14ac:dyDescent="0.25">
      <c r="B1192" s="126" t="s">
        <v>76</v>
      </c>
      <c r="C1192" s="127">
        <v>31</v>
      </c>
      <c r="D1192" s="127" t="s">
        <v>172</v>
      </c>
      <c r="E1192" s="127">
        <v>0</v>
      </c>
      <c r="F1192" s="127">
        <v>3</v>
      </c>
      <c r="G1192" s="130" t="s">
        <v>79</v>
      </c>
    </row>
    <row r="1193" spans="2:7" x14ac:dyDescent="0.25">
      <c r="B1193" s="126" t="s">
        <v>76</v>
      </c>
      <c r="C1193" s="127">
        <v>31</v>
      </c>
      <c r="D1193" s="127" t="s">
        <v>81</v>
      </c>
      <c r="E1193" s="127">
        <v>2</v>
      </c>
      <c r="F1193" s="127">
        <v>5</v>
      </c>
      <c r="G1193" s="130" t="s">
        <v>86</v>
      </c>
    </row>
    <row r="1194" spans="2:7" x14ac:dyDescent="0.25">
      <c r="B1194" s="126" t="s">
        <v>76</v>
      </c>
      <c r="C1194" s="127">
        <v>31</v>
      </c>
      <c r="D1194" s="127" t="s">
        <v>84</v>
      </c>
      <c r="E1194" s="127">
        <v>0</v>
      </c>
      <c r="F1194" s="127">
        <v>3</v>
      </c>
      <c r="G1194" s="130" t="s">
        <v>88</v>
      </c>
    </row>
    <row r="1195" spans="2:7" x14ac:dyDescent="0.25">
      <c r="B1195" s="126" t="s">
        <v>76</v>
      </c>
      <c r="C1195" s="127">
        <v>31</v>
      </c>
      <c r="D1195" s="127" t="s">
        <v>173</v>
      </c>
      <c r="E1195" s="127">
        <v>1</v>
      </c>
      <c r="F1195" s="127">
        <v>0</v>
      </c>
      <c r="G1195" s="130" t="s">
        <v>91</v>
      </c>
    </row>
    <row r="1196" spans="2:7" x14ac:dyDescent="0.25">
      <c r="B1196" s="126" t="s">
        <v>76</v>
      </c>
      <c r="C1196" s="127">
        <v>31</v>
      </c>
      <c r="D1196" s="127" t="s">
        <v>94</v>
      </c>
      <c r="E1196" s="127">
        <v>2</v>
      </c>
      <c r="F1196" s="127">
        <v>0</v>
      </c>
      <c r="G1196" s="130" t="s">
        <v>87</v>
      </c>
    </row>
    <row r="1197" spans="2:7" x14ac:dyDescent="0.25">
      <c r="B1197" s="126" t="s">
        <v>76</v>
      </c>
      <c r="C1197" s="127">
        <v>31</v>
      </c>
      <c r="D1197" s="127" t="s">
        <v>80</v>
      </c>
      <c r="E1197" s="127">
        <v>4</v>
      </c>
      <c r="F1197" s="127">
        <v>0</v>
      </c>
      <c r="G1197" s="130" t="s">
        <v>83</v>
      </c>
    </row>
    <row r="1198" spans="2:7" x14ac:dyDescent="0.25">
      <c r="B1198" s="126" t="s">
        <v>76</v>
      </c>
      <c r="C1198" s="127">
        <v>31</v>
      </c>
      <c r="D1198" s="127" t="s">
        <v>92</v>
      </c>
      <c r="E1198" s="127">
        <v>2</v>
      </c>
      <c r="F1198" s="127">
        <v>0</v>
      </c>
      <c r="G1198" s="130" t="s">
        <v>90</v>
      </c>
    </row>
    <row r="1199" spans="2:7" x14ac:dyDescent="0.25">
      <c r="B1199" s="126" t="s">
        <v>76</v>
      </c>
      <c r="C1199" s="127">
        <v>31</v>
      </c>
      <c r="D1199" s="127" t="s">
        <v>161</v>
      </c>
      <c r="E1199" s="127">
        <v>2</v>
      </c>
      <c r="F1199" s="127">
        <v>2</v>
      </c>
      <c r="G1199" s="130" t="s">
        <v>93</v>
      </c>
    </row>
    <row r="1200" spans="2:7" x14ac:dyDescent="0.25">
      <c r="B1200" s="126" t="s">
        <v>76</v>
      </c>
      <c r="C1200" s="127">
        <v>32</v>
      </c>
      <c r="D1200" s="127" t="s">
        <v>86</v>
      </c>
      <c r="E1200" s="127">
        <v>3</v>
      </c>
      <c r="F1200" s="127">
        <v>1</v>
      </c>
      <c r="G1200" s="130" t="s">
        <v>172</v>
      </c>
    </row>
    <row r="1201" spans="2:7" x14ac:dyDescent="0.25">
      <c r="B1201" s="126" t="s">
        <v>76</v>
      </c>
      <c r="C1201" s="127">
        <v>32</v>
      </c>
      <c r="D1201" s="127" t="s">
        <v>91</v>
      </c>
      <c r="E1201" s="127">
        <v>3</v>
      </c>
      <c r="F1201" s="127">
        <v>2</v>
      </c>
      <c r="G1201" s="130" t="s">
        <v>161</v>
      </c>
    </row>
    <row r="1202" spans="2:7" x14ac:dyDescent="0.25">
      <c r="B1202" s="126" t="s">
        <v>76</v>
      </c>
      <c r="C1202" s="127">
        <v>32</v>
      </c>
      <c r="D1202" s="127" t="s">
        <v>93</v>
      </c>
      <c r="E1202" s="127">
        <v>1</v>
      </c>
      <c r="F1202" s="127">
        <v>1</v>
      </c>
      <c r="G1202" s="130" t="s">
        <v>82</v>
      </c>
    </row>
    <row r="1203" spans="2:7" x14ac:dyDescent="0.25">
      <c r="B1203" s="126" t="s">
        <v>76</v>
      </c>
      <c r="C1203" s="127">
        <v>32</v>
      </c>
      <c r="D1203" s="127" t="s">
        <v>79</v>
      </c>
      <c r="E1203" s="127">
        <v>4</v>
      </c>
      <c r="F1203" s="127">
        <v>1</v>
      </c>
      <c r="G1203" s="130" t="s">
        <v>84</v>
      </c>
    </row>
    <row r="1204" spans="2:7" x14ac:dyDescent="0.25">
      <c r="B1204" s="126" t="s">
        <v>76</v>
      </c>
      <c r="C1204" s="127">
        <v>32</v>
      </c>
      <c r="D1204" s="127" t="s">
        <v>88</v>
      </c>
      <c r="E1204" s="127">
        <v>2</v>
      </c>
      <c r="F1204" s="127">
        <v>2</v>
      </c>
      <c r="G1204" s="130" t="s">
        <v>92</v>
      </c>
    </row>
    <row r="1205" spans="2:7" x14ac:dyDescent="0.25">
      <c r="B1205" s="126" t="s">
        <v>76</v>
      </c>
      <c r="C1205" s="127">
        <v>32</v>
      </c>
      <c r="D1205" s="127" t="s">
        <v>85</v>
      </c>
      <c r="E1205" s="127">
        <v>1</v>
      </c>
      <c r="F1205" s="127">
        <v>3</v>
      </c>
      <c r="G1205" s="130" t="s">
        <v>173</v>
      </c>
    </row>
    <row r="1206" spans="2:7" x14ac:dyDescent="0.25">
      <c r="B1206" s="126" t="s">
        <v>76</v>
      </c>
      <c r="C1206" s="127">
        <v>32</v>
      </c>
      <c r="D1206" s="127" t="s">
        <v>83</v>
      </c>
      <c r="E1206" s="127">
        <v>0</v>
      </c>
      <c r="F1206" s="127">
        <v>1</v>
      </c>
      <c r="G1206" s="130" t="s">
        <v>94</v>
      </c>
    </row>
    <row r="1207" spans="2:7" x14ac:dyDescent="0.25">
      <c r="B1207" s="126" t="s">
        <v>76</v>
      </c>
      <c r="C1207" s="127">
        <v>32</v>
      </c>
      <c r="D1207" s="127" t="s">
        <v>90</v>
      </c>
      <c r="E1207" s="127">
        <v>3</v>
      </c>
      <c r="F1207" s="127">
        <v>0</v>
      </c>
      <c r="G1207" s="130" t="s">
        <v>81</v>
      </c>
    </row>
    <row r="1208" spans="2:7" x14ac:dyDescent="0.25">
      <c r="B1208" s="126" t="s">
        <v>76</v>
      </c>
      <c r="C1208" s="127">
        <v>32</v>
      </c>
      <c r="D1208" s="127" t="s">
        <v>87</v>
      </c>
      <c r="E1208" s="127">
        <v>1</v>
      </c>
      <c r="F1208" s="127">
        <v>1</v>
      </c>
      <c r="G1208" s="130" t="s">
        <v>80</v>
      </c>
    </row>
    <row r="1209" spans="2:7" x14ac:dyDescent="0.25">
      <c r="B1209" s="126" t="s">
        <v>76</v>
      </c>
      <c r="C1209" s="127">
        <v>33</v>
      </c>
      <c r="D1209" s="127" t="s">
        <v>161</v>
      </c>
      <c r="E1209" s="127">
        <v>1</v>
      </c>
      <c r="F1209" s="127">
        <v>3</v>
      </c>
      <c r="G1209" s="130" t="s">
        <v>79</v>
      </c>
    </row>
    <row r="1210" spans="2:7" x14ac:dyDescent="0.25">
      <c r="B1210" s="126" t="s">
        <v>76</v>
      </c>
      <c r="C1210" s="127">
        <v>33</v>
      </c>
      <c r="D1210" s="127" t="s">
        <v>94</v>
      </c>
      <c r="E1210" s="127">
        <v>2</v>
      </c>
      <c r="F1210" s="127">
        <v>0</v>
      </c>
      <c r="G1210" s="130" t="s">
        <v>86</v>
      </c>
    </row>
    <row r="1211" spans="2:7" x14ac:dyDescent="0.25">
      <c r="B1211" s="126" t="s">
        <v>76</v>
      </c>
      <c r="C1211" s="127">
        <v>33</v>
      </c>
      <c r="D1211" s="127" t="s">
        <v>172</v>
      </c>
      <c r="E1211" s="127">
        <v>3</v>
      </c>
      <c r="F1211" s="127">
        <v>1</v>
      </c>
      <c r="G1211" s="130" t="s">
        <v>88</v>
      </c>
    </row>
    <row r="1212" spans="2:7" x14ac:dyDescent="0.25">
      <c r="B1212" s="126" t="s">
        <v>76</v>
      </c>
      <c r="C1212" s="127">
        <v>33</v>
      </c>
      <c r="D1212" s="127" t="s">
        <v>82</v>
      </c>
      <c r="E1212" s="127">
        <v>3</v>
      </c>
      <c r="F1212" s="127">
        <v>1</v>
      </c>
      <c r="G1212" s="130" t="s">
        <v>91</v>
      </c>
    </row>
    <row r="1213" spans="2:7" x14ac:dyDescent="0.25">
      <c r="B1213" s="126" t="s">
        <v>76</v>
      </c>
      <c r="C1213" s="127">
        <v>33</v>
      </c>
      <c r="D1213" s="127" t="s">
        <v>92</v>
      </c>
      <c r="E1213" s="127">
        <v>1</v>
      </c>
      <c r="F1213" s="127">
        <v>2</v>
      </c>
      <c r="G1213" s="130" t="s">
        <v>93</v>
      </c>
    </row>
    <row r="1214" spans="2:7" x14ac:dyDescent="0.25">
      <c r="B1214" s="126" t="s">
        <v>76</v>
      </c>
      <c r="C1214" s="127">
        <v>33</v>
      </c>
      <c r="D1214" s="127" t="s">
        <v>87</v>
      </c>
      <c r="E1214" s="127">
        <v>0</v>
      </c>
      <c r="F1214" s="127">
        <v>0</v>
      </c>
      <c r="G1214" s="130" t="s">
        <v>83</v>
      </c>
    </row>
    <row r="1215" spans="2:7" x14ac:dyDescent="0.25">
      <c r="B1215" s="126" t="s">
        <v>76</v>
      </c>
      <c r="C1215" s="127">
        <v>33</v>
      </c>
      <c r="D1215" s="127" t="s">
        <v>84</v>
      </c>
      <c r="E1215" s="127">
        <v>3</v>
      </c>
      <c r="F1215" s="127">
        <v>0</v>
      </c>
      <c r="G1215" s="130" t="s">
        <v>173</v>
      </c>
    </row>
    <row r="1216" spans="2:7" x14ac:dyDescent="0.25">
      <c r="B1216" s="126" t="s">
        <v>76</v>
      </c>
      <c r="C1216" s="127">
        <v>33</v>
      </c>
      <c r="D1216" s="127" t="s">
        <v>80</v>
      </c>
      <c r="E1216" s="127">
        <v>1</v>
      </c>
      <c r="F1216" s="127">
        <v>2</v>
      </c>
      <c r="G1216" s="130" t="s">
        <v>90</v>
      </c>
    </row>
    <row r="1217" spans="2:7" x14ac:dyDescent="0.25">
      <c r="B1217" s="126" t="s">
        <v>76</v>
      </c>
      <c r="C1217" s="127">
        <v>33</v>
      </c>
      <c r="D1217" s="127" t="s">
        <v>81</v>
      </c>
      <c r="E1217" s="127">
        <v>4</v>
      </c>
      <c r="F1217" s="127">
        <v>1</v>
      </c>
      <c r="G1217" s="130" t="s">
        <v>85</v>
      </c>
    </row>
    <row r="1218" spans="2:7" x14ac:dyDescent="0.25">
      <c r="B1218" s="126" t="s">
        <v>76</v>
      </c>
      <c r="C1218" s="127">
        <v>34</v>
      </c>
      <c r="D1218" s="127" t="s">
        <v>86</v>
      </c>
      <c r="E1218" s="127">
        <v>3</v>
      </c>
      <c r="F1218" s="127">
        <v>1</v>
      </c>
      <c r="G1218" s="130" t="s">
        <v>80</v>
      </c>
    </row>
    <row r="1219" spans="2:7" x14ac:dyDescent="0.25">
      <c r="B1219" s="126" t="s">
        <v>76</v>
      </c>
      <c r="C1219" s="127">
        <v>34</v>
      </c>
      <c r="D1219" s="127" t="s">
        <v>88</v>
      </c>
      <c r="E1219" s="127">
        <v>2</v>
      </c>
      <c r="F1219" s="127">
        <v>6</v>
      </c>
      <c r="G1219" s="130" t="s">
        <v>81</v>
      </c>
    </row>
    <row r="1220" spans="2:7" x14ac:dyDescent="0.25">
      <c r="B1220" s="126" t="s">
        <v>76</v>
      </c>
      <c r="C1220" s="127">
        <v>34</v>
      </c>
      <c r="D1220" s="127" t="s">
        <v>85</v>
      </c>
      <c r="E1220" s="127">
        <v>4</v>
      </c>
      <c r="F1220" s="127">
        <v>1</v>
      </c>
      <c r="G1220" s="130" t="s">
        <v>161</v>
      </c>
    </row>
    <row r="1221" spans="2:7" x14ac:dyDescent="0.25">
      <c r="B1221" s="126" t="s">
        <v>76</v>
      </c>
      <c r="C1221" s="127">
        <v>34</v>
      </c>
      <c r="D1221" s="127" t="s">
        <v>90</v>
      </c>
      <c r="E1221" s="127">
        <v>1</v>
      </c>
      <c r="F1221" s="127">
        <v>2</v>
      </c>
      <c r="G1221" s="130" t="s">
        <v>87</v>
      </c>
    </row>
    <row r="1222" spans="2:7" x14ac:dyDescent="0.25">
      <c r="B1222" s="126" t="s">
        <v>76</v>
      </c>
      <c r="C1222" s="127">
        <v>34</v>
      </c>
      <c r="D1222" s="127" t="s">
        <v>173</v>
      </c>
      <c r="E1222" s="127">
        <v>2</v>
      </c>
      <c r="F1222" s="127">
        <v>1</v>
      </c>
      <c r="G1222" s="130" t="s">
        <v>82</v>
      </c>
    </row>
    <row r="1223" spans="2:7" x14ac:dyDescent="0.25">
      <c r="B1223" s="126" t="s">
        <v>76</v>
      </c>
      <c r="C1223" s="127">
        <v>34</v>
      </c>
      <c r="D1223" s="127" t="s">
        <v>93</v>
      </c>
      <c r="E1223" s="127">
        <v>1</v>
      </c>
      <c r="F1223" s="127">
        <v>0</v>
      </c>
      <c r="G1223" s="130" t="s">
        <v>84</v>
      </c>
    </row>
    <row r="1224" spans="2:7" x14ac:dyDescent="0.25">
      <c r="B1224" s="126" t="s">
        <v>76</v>
      </c>
      <c r="C1224" s="127">
        <v>34</v>
      </c>
      <c r="D1224" s="127" t="s">
        <v>91</v>
      </c>
      <c r="E1224" s="127">
        <v>2</v>
      </c>
      <c r="F1224" s="127">
        <v>0</v>
      </c>
      <c r="G1224" s="130" t="s">
        <v>92</v>
      </c>
    </row>
    <row r="1225" spans="2:7" x14ac:dyDescent="0.25">
      <c r="B1225" s="126" t="s">
        <v>76</v>
      </c>
      <c r="C1225" s="127">
        <v>34</v>
      </c>
      <c r="D1225" s="127" t="s">
        <v>83</v>
      </c>
      <c r="E1225" s="127">
        <v>3</v>
      </c>
      <c r="F1225" s="127">
        <v>2</v>
      </c>
      <c r="G1225" s="130" t="s">
        <v>172</v>
      </c>
    </row>
    <row r="1226" spans="2:7" x14ac:dyDescent="0.25">
      <c r="B1226" s="126" t="s">
        <v>76</v>
      </c>
      <c r="C1226" s="127">
        <v>34</v>
      </c>
      <c r="D1226" s="127" t="s">
        <v>79</v>
      </c>
      <c r="E1226" s="127">
        <v>1</v>
      </c>
      <c r="F1226" s="127">
        <v>4</v>
      </c>
      <c r="G1226" s="130" t="s">
        <v>94</v>
      </c>
    </row>
    <row r="1227" spans="2:7" x14ac:dyDescent="0.25">
      <c r="B1227" s="126" t="s">
        <v>75</v>
      </c>
      <c r="C1227" s="127">
        <v>1</v>
      </c>
      <c r="D1227" s="127" t="s">
        <v>79</v>
      </c>
      <c r="E1227" s="127">
        <v>3</v>
      </c>
      <c r="F1227" s="127">
        <v>1</v>
      </c>
      <c r="G1227" s="130" t="s">
        <v>86</v>
      </c>
    </row>
    <row r="1228" spans="2:7" x14ac:dyDescent="0.25">
      <c r="B1228" s="126" t="s">
        <v>75</v>
      </c>
      <c r="C1228" s="127">
        <v>1</v>
      </c>
      <c r="D1228" s="127" t="s">
        <v>88</v>
      </c>
      <c r="E1228" s="127">
        <v>1</v>
      </c>
      <c r="F1228" s="127">
        <v>0</v>
      </c>
      <c r="G1228" s="130" t="s">
        <v>174</v>
      </c>
    </row>
    <row r="1229" spans="2:7" x14ac:dyDescent="0.25">
      <c r="B1229" s="126" t="s">
        <v>75</v>
      </c>
      <c r="C1229" s="127">
        <v>1</v>
      </c>
      <c r="D1229" s="127" t="s">
        <v>87</v>
      </c>
      <c r="E1229" s="127">
        <v>1</v>
      </c>
      <c r="F1229" s="127">
        <v>1</v>
      </c>
      <c r="G1229" s="130" t="s">
        <v>172</v>
      </c>
    </row>
    <row r="1230" spans="2:7" x14ac:dyDescent="0.25">
      <c r="B1230" s="126" t="s">
        <v>75</v>
      </c>
      <c r="C1230" s="127">
        <v>1</v>
      </c>
      <c r="D1230" s="127" t="s">
        <v>91</v>
      </c>
      <c r="E1230" s="127">
        <v>0</v>
      </c>
      <c r="F1230" s="127">
        <v>2</v>
      </c>
      <c r="G1230" s="130" t="s">
        <v>84</v>
      </c>
    </row>
    <row r="1231" spans="2:7" x14ac:dyDescent="0.25">
      <c r="B1231" s="126" t="s">
        <v>75</v>
      </c>
      <c r="C1231" s="127">
        <v>1</v>
      </c>
      <c r="D1231" s="127" t="s">
        <v>85</v>
      </c>
      <c r="E1231" s="127">
        <v>2</v>
      </c>
      <c r="F1231" s="127">
        <v>1</v>
      </c>
      <c r="G1231" s="130" t="s">
        <v>93</v>
      </c>
    </row>
    <row r="1232" spans="2:7" x14ac:dyDescent="0.25">
      <c r="B1232" s="126" t="s">
        <v>75</v>
      </c>
      <c r="C1232" s="127">
        <v>1</v>
      </c>
      <c r="D1232" s="127" t="s">
        <v>89</v>
      </c>
      <c r="E1232" s="127">
        <v>1</v>
      </c>
      <c r="F1232" s="127">
        <v>2</v>
      </c>
      <c r="G1232" s="130" t="s">
        <v>92</v>
      </c>
    </row>
    <row r="1233" spans="2:7" x14ac:dyDescent="0.25">
      <c r="B1233" s="126" t="s">
        <v>75</v>
      </c>
      <c r="C1233" s="127">
        <v>1</v>
      </c>
      <c r="D1233" s="127" t="s">
        <v>82</v>
      </c>
      <c r="E1233" s="127">
        <v>2</v>
      </c>
      <c r="F1233" s="127">
        <v>0</v>
      </c>
      <c r="G1233" s="130" t="s">
        <v>83</v>
      </c>
    </row>
    <row r="1234" spans="2:7" x14ac:dyDescent="0.25">
      <c r="B1234" s="126" t="s">
        <v>75</v>
      </c>
      <c r="C1234" s="127">
        <v>1</v>
      </c>
      <c r="D1234" s="127" t="s">
        <v>90</v>
      </c>
      <c r="E1234" s="127">
        <v>1</v>
      </c>
      <c r="F1234" s="127">
        <v>0</v>
      </c>
      <c r="G1234" s="130" t="s">
        <v>94</v>
      </c>
    </row>
    <row r="1235" spans="2:7" x14ac:dyDescent="0.25">
      <c r="B1235" s="126" t="s">
        <v>75</v>
      </c>
      <c r="C1235" s="127">
        <v>1</v>
      </c>
      <c r="D1235" s="127" t="s">
        <v>80</v>
      </c>
      <c r="E1235" s="127">
        <v>4</v>
      </c>
      <c r="F1235" s="127">
        <v>1</v>
      </c>
      <c r="G1235" s="130" t="s">
        <v>81</v>
      </c>
    </row>
    <row r="1236" spans="2:7" x14ac:dyDescent="0.25">
      <c r="B1236" s="126" t="s">
        <v>75</v>
      </c>
      <c r="C1236" s="127">
        <v>2</v>
      </c>
      <c r="D1236" s="127" t="s">
        <v>172</v>
      </c>
      <c r="E1236" s="127">
        <v>0</v>
      </c>
      <c r="F1236" s="127">
        <v>0</v>
      </c>
      <c r="G1236" s="130" t="s">
        <v>80</v>
      </c>
    </row>
    <row r="1237" spans="2:7" x14ac:dyDescent="0.25">
      <c r="B1237" s="126" t="s">
        <v>75</v>
      </c>
      <c r="C1237" s="127">
        <v>2</v>
      </c>
      <c r="D1237" s="127" t="s">
        <v>86</v>
      </c>
      <c r="E1237" s="127">
        <v>3</v>
      </c>
      <c r="F1237" s="127">
        <v>1</v>
      </c>
      <c r="G1237" s="130" t="s">
        <v>91</v>
      </c>
    </row>
    <row r="1238" spans="2:7" x14ac:dyDescent="0.25">
      <c r="B1238" s="126" t="s">
        <v>75</v>
      </c>
      <c r="C1238" s="127">
        <v>2</v>
      </c>
      <c r="D1238" s="127" t="s">
        <v>83</v>
      </c>
      <c r="E1238" s="127">
        <v>1</v>
      </c>
      <c r="F1238" s="127">
        <v>3</v>
      </c>
      <c r="G1238" s="130" t="s">
        <v>85</v>
      </c>
    </row>
    <row r="1239" spans="2:7" x14ac:dyDescent="0.25">
      <c r="B1239" s="126" t="s">
        <v>75</v>
      </c>
      <c r="C1239" s="127">
        <v>2</v>
      </c>
      <c r="D1239" s="127" t="s">
        <v>84</v>
      </c>
      <c r="E1239" s="127">
        <v>1</v>
      </c>
      <c r="F1239" s="127">
        <v>2</v>
      </c>
      <c r="G1239" s="130" t="s">
        <v>87</v>
      </c>
    </row>
    <row r="1240" spans="2:7" x14ac:dyDescent="0.25">
      <c r="B1240" s="126" t="s">
        <v>75</v>
      </c>
      <c r="C1240" s="127">
        <v>2</v>
      </c>
      <c r="D1240" s="127" t="s">
        <v>92</v>
      </c>
      <c r="E1240" s="127">
        <v>1</v>
      </c>
      <c r="F1240" s="127">
        <v>1</v>
      </c>
      <c r="G1240" s="130" t="s">
        <v>82</v>
      </c>
    </row>
    <row r="1241" spans="2:7" x14ac:dyDescent="0.25">
      <c r="B1241" s="126" t="s">
        <v>75</v>
      </c>
      <c r="C1241" s="127">
        <v>2</v>
      </c>
      <c r="D1241" s="127" t="s">
        <v>174</v>
      </c>
      <c r="E1241" s="127">
        <v>1</v>
      </c>
      <c r="F1241" s="127">
        <v>1</v>
      </c>
      <c r="G1241" s="130" t="s">
        <v>90</v>
      </c>
    </row>
    <row r="1242" spans="2:7" x14ac:dyDescent="0.25">
      <c r="B1242" s="126" t="s">
        <v>75</v>
      </c>
      <c r="C1242" s="127">
        <v>2</v>
      </c>
      <c r="D1242" s="127" t="s">
        <v>94</v>
      </c>
      <c r="E1242" s="127">
        <v>0</v>
      </c>
      <c r="F1242" s="127">
        <v>3</v>
      </c>
      <c r="G1242" s="130" t="s">
        <v>79</v>
      </c>
    </row>
    <row r="1243" spans="2:7" x14ac:dyDescent="0.25">
      <c r="B1243" s="126" t="s">
        <v>75</v>
      </c>
      <c r="C1243" s="127">
        <v>2</v>
      </c>
      <c r="D1243" s="127" t="s">
        <v>81</v>
      </c>
      <c r="E1243" s="127">
        <v>1</v>
      </c>
      <c r="F1243" s="127">
        <v>1</v>
      </c>
      <c r="G1243" s="130" t="s">
        <v>89</v>
      </c>
    </row>
    <row r="1244" spans="2:7" x14ac:dyDescent="0.25">
      <c r="B1244" s="126" t="s">
        <v>75</v>
      </c>
      <c r="C1244" s="127">
        <v>2</v>
      </c>
      <c r="D1244" s="127" t="s">
        <v>93</v>
      </c>
      <c r="E1244" s="127">
        <v>0</v>
      </c>
      <c r="F1244" s="127">
        <v>2</v>
      </c>
      <c r="G1244" s="130" t="s">
        <v>88</v>
      </c>
    </row>
    <row r="1245" spans="2:7" x14ac:dyDescent="0.25">
      <c r="B1245" s="126" t="s">
        <v>75</v>
      </c>
      <c r="C1245" s="127">
        <v>3</v>
      </c>
      <c r="D1245" s="127" t="s">
        <v>80</v>
      </c>
      <c r="E1245" s="127">
        <v>3</v>
      </c>
      <c r="F1245" s="127">
        <v>1</v>
      </c>
      <c r="G1245" s="130" t="s">
        <v>84</v>
      </c>
    </row>
    <row r="1246" spans="2:7" x14ac:dyDescent="0.25">
      <c r="B1246" s="126" t="s">
        <v>75</v>
      </c>
      <c r="C1246" s="127">
        <v>3</v>
      </c>
      <c r="D1246" s="127" t="s">
        <v>81</v>
      </c>
      <c r="E1246" s="127">
        <v>3</v>
      </c>
      <c r="F1246" s="127">
        <v>2</v>
      </c>
      <c r="G1246" s="130" t="s">
        <v>172</v>
      </c>
    </row>
    <row r="1247" spans="2:7" x14ac:dyDescent="0.25">
      <c r="B1247" s="126" t="s">
        <v>75</v>
      </c>
      <c r="C1247" s="127">
        <v>3</v>
      </c>
      <c r="D1247" s="127" t="s">
        <v>90</v>
      </c>
      <c r="E1247" s="127">
        <v>2</v>
      </c>
      <c r="F1247" s="127">
        <v>1</v>
      </c>
      <c r="G1247" s="130" t="s">
        <v>92</v>
      </c>
    </row>
    <row r="1248" spans="2:7" x14ac:dyDescent="0.25">
      <c r="B1248" s="126" t="s">
        <v>75</v>
      </c>
      <c r="C1248" s="127">
        <v>3</v>
      </c>
      <c r="D1248" s="127" t="s">
        <v>85</v>
      </c>
      <c r="E1248" s="127">
        <v>2</v>
      </c>
      <c r="F1248" s="127">
        <v>2</v>
      </c>
      <c r="G1248" s="130" t="s">
        <v>88</v>
      </c>
    </row>
    <row r="1249" spans="2:7" x14ac:dyDescent="0.25">
      <c r="B1249" s="126" t="s">
        <v>75</v>
      </c>
      <c r="C1249" s="127">
        <v>3</v>
      </c>
      <c r="D1249" s="127" t="s">
        <v>89</v>
      </c>
      <c r="E1249" s="127">
        <v>2</v>
      </c>
      <c r="F1249" s="127">
        <v>1</v>
      </c>
      <c r="G1249" s="130" t="s">
        <v>86</v>
      </c>
    </row>
    <row r="1250" spans="2:7" x14ac:dyDescent="0.25">
      <c r="B1250" s="126" t="s">
        <v>75</v>
      </c>
      <c r="C1250" s="127">
        <v>3</v>
      </c>
      <c r="D1250" s="127" t="s">
        <v>79</v>
      </c>
      <c r="E1250" s="127">
        <v>3</v>
      </c>
      <c r="F1250" s="127">
        <v>1</v>
      </c>
      <c r="G1250" s="130" t="s">
        <v>83</v>
      </c>
    </row>
    <row r="1251" spans="2:7" x14ac:dyDescent="0.25">
      <c r="B1251" s="126" t="s">
        <v>75</v>
      </c>
      <c r="C1251" s="127">
        <v>3</v>
      </c>
      <c r="D1251" s="127" t="s">
        <v>82</v>
      </c>
      <c r="E1251" s="127">
        <v>2</v>
      </c>
      <c r="F1251" s="127">
        <v>1</v>
      </c>
      <c r="G1251" s="130" t="s">
        <v>93</v>
      </c>
    </row>
    <row r="1252" spans="2:7" x14ac:dyDescent="0.25">
      <c r="B1252" s="126" t="s">
        <v>75</v>
      </c>
      <c r="C1252" s="127">
        <v>3</v>
      </c>
      <c r="D1252" s="127" t="s">
        <v>87</v>
      </c>
      <c r="E1252" s="127">
        <v>1</v>
      </c>
      <c r="F1252" s="127">
        <v>1</v>
      </c>
      <c r="G1252" s="130" t="s">
        <v>174</v>
      </c>
    </row>
    <row r="1253" spans="2:7" x14ac:dyDescent="0.25">
      <c r="B1253" s="126" t="s">
        <v>75</v>
      </c>
      <c r="C1253" s="127">
        <v>3</v>
      </c>
      <c r="D1253" s="127" t="s">
        <v>91</v>
      </c>
      <c r="E1253" s="127">
        <v>3</v>
      </c>
      <c r="F1253" s="127">
        <v>3</v>
      </c>
      <c r="G1253" s="130" t="s">
        <v>94</v>
      </c>
    </row>
    <row r="1254" spans="2:7" x14ac:dyDescent="0.25">
      <c r="B1254" s="126" t="s">
        <v>75</v>
      </c>
      <c r="C1254" s="127">
        <v>4</v>
      </c>
      <c r="D1254" s="127" t="s">
        <v>94</v>
      </c>
      <c r="E1254" s="127">
        <v>0</v>
      </c>
      <c r="F1254" s="127">
        <v>0</v>
      </c>
      <c r="G1254" s="130" t="s">
        <v>89</v>
      </c>
    </row>
    <row r="1255" spans="2:7" x14ac:dyDescent="0.25">
      <c r="B1255" s="126" t="s">
        <v>75</v>
      </c>
      <c r="C1255" s="127">
        <v>4</v>
      </c>
      <c r="D1255" s="127" t="s">
        <v>86</v>
      </c>
      <c r="E1255" s="127">
        <v>1</v>
      </c>
      <c r="F1255" s="127">
        <v>1</v>
      </c>
      <c r="G1255" s="130" t="s">
        <v>80</v>
      </c>
    </row>
    <row r="1256" spans="2:7" x14ac:dyDescent="0.25">
      <c r="B1256" s="126" t="s">
        <v>75</v>
      </c>
      <c r="C1256" s="127">
        <v>4</v>
      </c>
      <c r="D1256" s="127" t="s">
        <v>88</v>
      </c>
      <c r="E1256" s="127">
        <v>4</v>
      </c>
      <c r="F1256" s="127">
        <v>2</v>
      </c>
      <c r="G1256" s="130" t="s">
        <v>82</v>
      </c>
    </row>
    <row r="1257" spans="2:7" x14ac:dyDescent="0.25">
      <c r="B1257" s="126" t="s">
        <v>75</v>
      </c>
      <c r="C1257" s="127">
        <v>4</v>
      </c>
      <c r="D1257" s="127" t="s">
        <v>92</v>
      </c>
      <c r="E1257" s="127">
        <v>2</v>
      </c>
      <c r="F1257" s="127">
        <v>3</v>
      </c>
      <c r="G1257" s="130" t="s">
        <v>87</v>
      </c>
    </row>
    <row r="1258" spans="2:7" x14ac:dyDescent="0.25">
      <c r="B1258" s="126" t="s">
        <v>75</v>
      </c>
      <c r="C1258" s="127">
        <v>4</v>
      </c>
      <c r="D1258" s="127" t="s">
        <v>85</v>
      </c>
      <c r="E1258" s="127">
        <v>1</v>
      </c>
      <c r="F1258" s="127">
        <v>3</v>
      </c>
      <c r="G1258" s="130" t="s">
        <v>91</v>
      </c>
    </row>
    <row r="1259" spans="2:7" x14ac:dyDescent="0.25">
      <c r="B1259" s="126" t="s">
        <v>75</v>
      </c>
      <c r="C1259" s="127">
        <v>4</v>
      </c>
      <c r="D1259" s="127" t="s">
        <v>174</v>
      </c>
      <c r="E1259" s="127">
        <v>2</v>
      </c>
      <c r="F1259" s="127">
        <v>0</v>
      </c>
      <c r="G1259" s="130" t="s">
        <v>172</v>
      </c>
    </row>
    <row r="1260" spans="2:7" x14ac:dyDescent="0.25">
      <c r="B1260" s="126" t="s">
        <v>75</v>
      </c>
      <c r="C1260" s="127">
        <v>4</v>
      </c>
      <c r="D1260" s="127" t="s">
        <v>93</v>
      </c>
      <c r="E1260" s="127">
        <v>0</v>
      </c>
      <c r="F1260" s="127">
        <v>2</v>
      </c>
      <c r="G1260" s="130" t="s">
        <v>79</v>
      </c>
    </row>
    <row r="1261" spans="2:7" x14ac:dyDescent="0.25">
      <c r="B1261" s="126" t="s">
        <v>75</v>
      </c>
      <c r="C1261" s="127">
        <v>4</v>
      </c>
      <c r="D1261" s="127" t="s">
        <v>83</v>
      </c>
      <c r="E1261" s="127">
        <v>1</v>
      </c>
      <c r="F1261" s="127">
        <v>0</v>
      </c>
      <c r="G1261" s="130" t="s">
        <v>90</v>
      </c>
    </row>
    <row r="1262" spans="2:7" x14ac:dyDescent="0.25">
      <c r="B1262" s="126" t="s">
        <v>75</v>
      </c>
      <c r="C1262" s="127">
        <v>4</v>
      </c>
      <c r="D1262" s="127" t="s">
        <v>84</v>
      </c>
      <c r="E1262" s="127">
        <v>1</v>
      </c>
      <c r="F1262" s="127">
        <v>1</v>
      </c>
      <c r="G1262" s="130" t="s">
        <v>81</v>
      </c>
    </row>
    <row r="1263" spans="2:7" x14ac:dyDescent="0.25">
      <c r="B1263" s="126" t="s">
        <v>75</v>
      </c>
      <c r="C1263" s="127">
        <v>5</v>
      </c>
      <c r="D1263" s="127" t="s">
        <v>87</v>
      </c>
      <c r="E1263" s="127">
        <v>3</v>
      </c>
      <c r="F1263" s="127">
        <v>1</v>
      </c>
      <c r="G1263" s="130" t="s">
        <v>88</v>
      </c>
    </row>
    <row r="1264" spans="2:7" x14ac:dyDescent="0.25">
      <c r="B1264" s="126" t="s">
        <v>75</v>
      </c>
      <c r="C1264" s="127">
        <v>5</v>
      </c>
      <c r="D1264" s="127" t="s">
        <v>79</v>
      </c>
      <c r="E1264" s="127">
        <v>1</v>
      </c>
      <c r="F1264" s="127">
        <v>1</v>
      </c>
      <c r="G1264" s="130" t="s">
        <v>92</v>
      </c>
    </row>
    <row r="1265" spans="2:7" x14ac:dyDescent="0.25">
      <c r="B1265" s="126" t="s">
        <v>75</v>
      </c>
      <c r="C1265" s="127">
        <v>5</v>
      </c>
      <c r="D1265" s="127" t="s">
        <v>172</v>
      </c>
      <c r="E1265" s="127">
        <v>1</v>
      </c>
      <c r="F1265" s="127">
        <v>3</v>
      </c>
      <c r="G1265" s="130" t="s">
        <v>86</v>
      </c>
    </row>
    <row r="1266" spans="2:7" x14ac:dyDescent="0.25">
      <c r="B1266" s="126" t="s">
        <v>75</v>
      </c>
      <c r="C1266" s="127">
        <v>5</v>
      </c>
      <c r="D1266" s="127" t="s">
        <v>91</v>
      </c>
      <c r="E1266" s="127">
        <v>1</v>
      </c>
      <c r="F1266" s="127">
        <v>0</v>
      </c>
      <c r="G1266" s="130" t="s">
        <v>93</v>
      </c>
    </row>
    <row r="1267" spans="2:7" x14ac:dyDescent="0.25">
      <c r="B1267" s="126" t="s">
        <v>75</v>
      </c>
      <c r="C1267" s="127">
        <v>5</v>
      </c>
      <c r="D1267" s="127" t="s">
        <v>89</v>
      </c>
      <c r="E1267" s="127">
        <v>1</v>
      </c>
      <c r="F1267" s="127">
        <v>2</v>
      </c>
      <c r="G1267" s="130" t="s">
        <v>83</v>
      </c>
    </row>
    <row r="1268" spans="2:7" x14ac:dyDescent="0.25">
      <c r="B1268" s="126" t="s">
        <v>75</v>
      </c>
      <c r="C1268" s="127">
        <v>5</v>
      </c>
      <c r="D1268" s="127" t="s">
        <v>80</v>
      </c>
      <c r="E1268" s="127">
        <v>7</v>
      </c>
      <c r="F1268" s="127">
        <v>0</v>
      </c>
      <c r="G1268" s="130" t="s">
        <v>174</v>
      </c>
    </row>
    <row r="1269" spans="2:7" x14ac:dyDescent="0.25">
      <c r="B1269" s="126" t="s">
        <v>75</v>
      </c>
      <c r="C1269" s="127">
        <v>5</v>
      </c>
      <c r="D1269" s="127" t="s">
        <v>81</v>
      </c>
      <c r="E1269" s="127">
        <v>2</v>
      </c>
      <c r="F1269" s="127">
        <v>0</v>
      </c>
      <c r="G1269" s="130" t="s">
        <v>94</v>
      </c>
    </row>
    <row r="1270" spans="2:7" x14ac:dyDescent="0.25">
      <c r="B1270" s="126" t="s">
        <v>75</v>
      </c>
      <c r="C1270" s="127">
        <v>5</v>
      </c>
      <c r="D1270" s="127" t="s">
        <v>82</v>
      </c>
      <c r="E1270" s="127">
        <v>3</v>
      </c>
      <c r="F1270" s="127">
        <v>1</v>
      </c>
      <c r="G1270" s="130" t="s">
        <v>84</v>
      </c>
    </row>
    <row r="1271" spans="2:7" x14ac:dyDescent="0.25">
      <c r="B1271" s="126" t="s">
        <v>75</v>
      </c>
      <c r="C1271" s="127">
        <v>5</v>
      </c>
      <c r="D1271" s="127" t="s">
        <v>90</v>
      </c>
      <c r="E1271" s="127">
        <v>0</v>
      </c>
      <c r="F1271" s="127">
        <v>0</v>
      </c>
      <c r="G1271" s="130" t="s">
        <v>85</v>
      </c>
    </row>
    <row r="1272" spans="2:7" x14ac:dyDescent="0.25">
      <c r="B1272" s="126" t="s">
        <v>75</v>
      </c>
      <c r="C1272" s="127">
        <v>6</v>
      </c>
      <c r="D1272" s="127" t="s">
        <v>88</v>
      </c>
      <c r="E1272" s="127">
        <v>2</v>
      </c>
      <c r="F1272" s="127">
        <v>0</v>
      </c>
      <c r="G1272" s="130" t="s">
        <v>79</v>
      </c>
    </row>
    <row r="1273" spans="2:7" x14ac:dyDescent="0.25">
      <c r="B1273" s="126" t="s">
        <v>75</v>
      </c>
      <c r="C1273" s="127">
        <v>6</v>
      </c>
      <c r="D1273" s="127" t="s">
        <v>93</v>
      </c>
      <c r="E1273" s="127">
        <v>1</v>
      </c>
      <c r="F1273" s="127">
        <v>0</v>
      </c>
      <c r="G1273" s="130" t="s">
        <v>90</v>
      </c>
    </row>
    <row r="1274" spans="2:7" x14ac:dyDescent="0.25">
      <c r="B1274" s="126" t="s">
        <v>75</v>
      </c>
      <c r="C1274" s="127">
        <v>6</v>
      </c>
      <c r="D1274" s="127" t="s">
        <v>86</v>
      </c>
      <c r="E1274" s="127">
        <v>1</v>
      </c>
      <c r="F1274" s="127">
        <v>2</v>
      </c>
      <c r="G1274" s="130" t="s">
        <v>81</v>
      </c>
    </row>
    <row r="1275" spans="2:7" x14ac:dyDescent="0.25">
      <c r="B1275" s="126" t="s">
        <v>75</v>
      </c>
      <c r="C1275" s="127">
        <v>6</v>
      </c>
      <c r="D1275" s="127" t="s">
        <v>94</v>
      </c>
      <c r="E1275" s="127">
        <v>2</v>
      </c>
      <c r="F1275" s="127">
        <v>1</v>
      </c>
      <c r="G1275" s="130" t="s">
        <v>87</v>
      </c>
    </row>
    <row r="1276" spans="2:7" x14ac:dyDescent="0.25">
      <c r="B1276" s="126" t="s">
        <v>75</v>
      </c>
      <c r="C1276" s="127">
        <v>6</v>
      </c>
      <c r="D1276" s="127" t="s">
        <v>85</v>
      </c>
      <c r="E1276" s="127">
        <v>2</v>
      </c>
      <c r="F1276" s="127">
        <v>2</v>
      </c>
      <c r="G1276" s="130" t="s">
        <v>82</v>
      </c>
    </row>
    <row r="1277" spans="2:7" x14ac:dyDescent="0.25">
      <c r="B1277" s="126" t="s">
        <v>75</v>
      </c>
      <c r="C1277" s="127">
        <v>6</v>
      </c>
      <c r="D1277" s="127" t="s">
        <v>174</v>
      </c>
      <c r="E1277" s="127">
        <v>3</v>
      </c>
      <c r="F1277" s="127">
        <v>0</v>
      </c>
      <c r="G1277" s="130" t="s">
        <v>89</v>
      </c>
    </row>
    <row r="1278" spans="2:7" x14ac:dyDescent="0.25">
      <c r="B1278" s="126" t="s">
        <v>75</v>
      </c>
      <c r="C1278" s="127">
        <v>6</v>
      </c>
      <c r="D1278" s="127" t="s">
        <v>83</v>
      </c>
      <c r="E1278" s="127">
        <v>2</v>
      </c>
      <c r="F1278" s="127">
        <v>4</v>
      </c>
      <c r="G1278" s="130" t="s">
        <v>80</v>
      </c>
    </row>
    <row r="1279" spans="2:7" x14ac:dyDescent="0.25">
      <c r="B1279" s="126" t="s">
        <v>75</v>
      </c>
      <c r="C1279" s="127">
        <v>6</v>
      </c>
      <c r="D1279" s="127" t="s">
        <v>84</v>
      </c>
      <c r="E1279" s="127">
        <v>4</v>
      </c>
      <c r="F1279" s="127">
        <v>1</v>
      </c>
      <c r="G1279" s="130" t="s">
        <v>172</v>
      </c>
    </row>
    <row r="1280" spans="2:7" x14ac:dyDescent="0.25">
      <c r="B1280" s="126" t="s">
        <v>75</v>
      </c>
      <c r="C1280" s="127">
        <v>6</v>
      </c>
      <c r="D1280" s="127" t="s">
        <v>92</v>
      </c>
      <c r="E1280" s="127">
        <v>4</v>
      </c>
      <c r="F1280" s="127">
        <v>1</v>
      </c>
      <c r="G1280" s="130" t="s">
        <v>91</v>
      </c>
    </row>
    <row r="1281" spans="2:7" x14ac:dyDescent="0.25">
      <c r="B1281" s="126" t="s">
        <v>75</v>
      </c>
      <c r="C1281" s="127">
        <v>7</v>
      </c>
      <c r="D1281" s="127" t="s">
        <v>87</v>
      </c>
      <c r="E1281" s="127">
        <v>2</v>
      </c>
      <c r="F1281" s="127">
        <v>0</v>
      </c>
      <c r="G1281" s="130" t="s">
        <v>85</v>
      </c>
    </row>
    <row r="1282" spans="2:7" x14ac:dyDescent="0.25">
      <c r="B1282" s="126" t="s">
        <v>75</v>
      </c>
      <c r="C1282" s="127">
        <v>7</v>
      </c>
      <c r="D1282" s="127" t="s">
        <v>80</v>
      </c>
      <c r="E1282" s="127">
        <v>4</v>
      </c>
      <c r="F1282" s="127">
        <v>3</v>
      </c>
      <c r="G1282" s="130" t="s">
        <v>92</v>
      </c>
    </row>
    <row r="1283" spans="2:7" x14ac:dyDescent="0.25">
      <c r="B1283" s="126" t="s">
        <v>75</v>
      </c>
      <c r="C1283" s="127">
        <v>7</v>
      </c>
      <c r="D1283" s="127" t="s">
        <v>172</v>
      </c>
      <c r="E1283" s="127">
        <v>3</v>
      </c>
      <c r="F1283" s="127">
        <v>1</v>
      </c>
      <c r="G1283" s="130" t="s">
        <v>94</v>
      </c>
    </row>
    <row r="1284" spans="2:7" x14ac:dyDescent="0.25">
      <c r="B1284" s="126" t="s">
        <v>75</v>
      </c>
      <c r="C1284" s="127">
        <v>7</v>
      </c>
      <c r="D1284" s="127" t="s">
        <v>90</v>
      </c>
      <c r="E1284" s="127">
        <v>0</v>
      </c>
      <c r="F1284" s="127">
        <v>0</v>
      </c>
      <c r="G1284" s="130" t="s">
        <v>88</v>
      </c>
    </row>
    <row r="1285" spans="2:7" x14ac:dyDescent="0.25">
      <c r="B1285" s="126" t="s">
        <v>75</v>
      </c>
      <c r="C1285" s="127">
        <v>7</v>
      </c>
      <c r="D1285" s="127" t="s">
        <v>89</v>
      </c>
      <c r="E1285" s="127">
        <v>0</v>
      </c>
      <c r="F1285" s="127">
        <v>2</v>
      </c>
      <c r="G1285" s="130" t="s">
        <v>93</v>
      </c>
    </row>
    <row r="1286" spans="2:7" x14ac:dyDescent="0.25">
      <c r="B1286" s="126" t="s">
        <v>75</v>
      </c>
      <c r="C1286" s="127">
        <v>7</v>
      </c>
      <c r="D1286" s="127" t="s">
        <v>79</v>
      </c>
      <c r="E1286" s="127">
        <v>0</v>
      </c>
      <c r="F1286" s="127">
        <v>3</v>
      </c>
      <c r="G1286" s="130" t="s">
        <v>82</v>
      </c>
    </row>
    <row r="1287" spans="2:7" x14ac:dyDescent="0.25">
      <c r="B1287" s="126" t="s">
        <v>75</v>
      </c>
      <c r="C1287" s="127">
        <v>7</v>
      </c>
      <c r="D1287" s="127" t="s">
        <v>91</v>
      </c>
      <c r="E1287" s="127">
        <v>0</v>
      </c>
      <c r="F1287" s="127">
        <v>0</v>
      </c>
      <c r="G1287" s="130" t="s">
        <v>83</v>
      </c>
    </row>
    <row r="1288" spans="2:7" x14ac:dyDescent="0.25">
      <c r="B1288" s="126" t="s">
        <v>75</v>
      </c>
      <c r="C1288" s="127">
        <v>7</v>
      </c>
      <c r="D1288" s="127" t="s">
        <v>86</v>
      </c>
      <c r="E1288" s="127">
        <v>1</v>
      </c>
      <c r="F1288" s="127">
        <v>2</v>
      </c>
      <c r="G1288" s="130" t="s">
        <v>84</v>
      </c>
    </row>
    <row r="1289" spans="2:7" x14ac:dyDescent="0.25">
      <c r="B1289" s="126" t="s">
        <v>75</v>
      </c>
      <c r="C1289" s="127">
        <v>7</v>
      </c>
      <c r="D1289" s="127" t="s">
        <v>81</v>
      </c>
      <c r="E1289" s="127">
        <v>6</v>
      </c>
      <c r="F1289" s="127">
        <v>0</v>
      </c>
      <c r="G1289" s="130" t="s">
        <v>174</v>
      </c>
    </row>
    <row r="1290" spans="2:7" x14ac:dyDescent="0.25">
      <c r="B1290" s="126" t="s">
        <v>75</v>
      </c>
      <c r="C1290" s="127">
        <v>8</v>
      </c>
      <c r="D1290" s="127" t="s">
        <v>84</v>
      </c>
      <c r="E1290" s="127">
        <v>7</v>
      </c>
      <c r="F1290" s="127">
        <v>1</v>
      </c>
      <c r="G1290" s="130" t="s">
        <v>89</v>
      </c>
    </row>
    <row r="1291" spans="2:7" x14ac:dyDescent="0.25">
      <c r="B1291" s="126" t="s">
        <v>75</v>
      </c>
      <c r="C1291" s="127">
        <v>8</v>
      </c>
      <c r="D1291" s="127" t="s">
        <v>83</v>
      </c>
      <c r="E1291" s="127">
        <v>2</v>
      </c>
      <c r="F1291" s="127">
        <v>2</v>
      </c>
      <c r="G1291" s="130" t="s">
        <v>172</v>
      </c>
    </row>
    <row r="1292" spans="2:7" x14ac:dyDescent="0.25">
      <c r="B1292" s="126" t="s">
        <v>75</v>
      </c>
      <c r="C1292" s="127">
        <v>8</v>
      </c>
      <c r="D1292" s="127" t="s">
        <v>94</v>
      </c>
      <c r="E1292" s="127">
        <v>0</v>
      </c>
      <c r="F1292" s="127">
        <v>4</v>
      </c>
      <c r="G1292" s="130" t="s">
        <v>80</v>
      </c>
    </row>
    <row r="1293" spans="2:7" x14ac:dyDescent="0.25">
      <c r="B1293" s="126" t="s">
        <v>75</v>
      </c>
      <c r="C1293" s="127">
        <v>8</v>
      </c>
      <c r="D1293" s="127" t="s">
        <v>92</v>
      </c>
      <c r="E1293" s="127">
        <v>0</v>
      </c>
      <c r="F1293" s="127">
        <v>0</v>
      </c>
      <c r="G1293" s="130" t="s">
        <v>81</v>
      </c>
    </row>
    <row r="1294" spans="2:7" x14ac:dyDescent="0.25">
      <c r="B1294" s="126" t="s">
        <v>75</v>
      </c>
      <c r="C1294" s="127">
        <v>8</v>
      </c>
      <c r="D1294" s="127" t="s">
        <v>85</v>
      </c>
      <c r="E1294" s="127">
        <v>1</v>
      </c>
      <c r="F1294" s="127">
        <v>3</v>
      </c>
      <c r="G1294" s="130" t="s">
        <v>79</v>
      </c>
    </row>
    <row r="1295" spans="2:7" x14ac:dyDescent="0.25">
      <c r="B1295" s="126" t="s">
        <v>75</v>
      </c>
      <c r="C1295" s="127">
        <v>8</v>
      </c>
      <c r="D1295" s="127" t="s">
        <v>174</v>
      </c>
      <c r="E1295" s="127">
        <v>1</v>
      </c>
      <c r="F1295" s="127">
        <v>3</v>
      </c>
      <c r="G1295" s="130" t="s">
        <v>86</v>
      </c>
    </row>
    <row r="1296" spans="2:7" x14ac:dyDescent="0.25">
      <c r="B1296" s="126" t="s">
        <v>75</v>
      </c>
      <c r="C1296" s="127">
        <v>8</v>
      </c>
      <c r="D1296" s="127" t="s">
        <v>93</v>
      </c>
      <c r="E1296" s="127">
        <v>0</v>
      </c>
      <c r="F1296" s="127">
        <v>2</v>
      </c>
      <c r="G1296" s="130" t="s">
        <v>87</v>
      </c>
    </row>
    <row r="1297" spans="2:7" x14ac:dyDescent="0.25">
      <c r="B1297" s="126" t="s">
        <v>75</v>
      </c>
      <c r="C1297" s="127">
        <v>8</v>
      </c>
      <c r="D1297" s="127" t="s">
        <v>88</v>
      </c>
      <c r="E1297" s="127">
        <v>1</v>
      </c>
      <c r="F1297" s="127">
        <v>1</v>
      </c>
      <c r="G1297" s="130" t="s">
        <v>91</v>
      </c>
    </row>
    <row r="1298" spans="2:7" x14ac:dyDescent="0.25">
      <c r="B1298" s="126" t="s">
        <v>75</v>
      </c>
      <c r="C1298" s="127">
        <v>8</v>
      </c>
      <c r="D1298" s="127" t="s">
        <v>82</v>
      </c>
      <c r="E1298" s="127">
        <v>4</v>
      </c>
      <c r="F1298" s="127">
        <v>0</v>
      </c>
      <c r="G1298" s="130" t="s">
        <v>90</v>
      </c>
    </row>
    <row r="1299" spans="2:7" x14ac:dyDescent="0.25">
      <c r="B1299" s="126" t="s">
        <v>75</v>
      </c>
      <c r="C1299" s="127">
        <v>9</v>
      </c>
      <c r="D1299" s="127" t="s">
        <v>91</v>
      </c>
      <c r="E1299" s="127">
        <v>3</v>
      </c>
      <c r="F1299" s="127">
        <v>1</v>
      </c>
      <c r="G1299" s="130" t="s">
        <v>82</v>
      </c>
    </row>
    <row r="1300" spans="2:7" x14ac:dyDescent="0.25">
      <c r="B1300" s="126" t="s">
        <v>75</v>
      </c>
      <c r="C1300" s="127">
        <v>9</v>
      </c>
      <c r="D1300" s="127" t="s">
        <v>80</v>
      </c>
      <c r="E1300" s="127">
        <v>2</v>
      </c>
      <c r="F1300" s="127">
        <v>2</v>
      </c>
      <c r="G1300" s="130" t="s">
        <v>88</v>
      </c>
    </row>
    <row r="1301" spans="2:7" x14ac:dyDescent="0.25">
      <c r="B1301" s="126" t="s">
        <v>75</v>
      </c>
      <c r="C1301" s="127">
        <v>9</v>
      </c>
      <c r="D1301" s="127" t="s">
        <v>172</v>
      </c>
      <c r="E1301" s="127">
        <v>1</v>
      </c>
      <c r="F1301" s="127">
        <v>2</v>
      </c>
      <c r="G1301" s="130" t="s">
        <v>92</v>
      </c>
    </row>
    <row r="1302" spans="2:7" x14ac:dyDescent="0.25">
      <c r="B1302" s="126" t="s">
        <v>75</v>
      </c>
      <c r="C1302" s="127">
        <v>9</v>
      </c>
      <c r="D1302" s="127" t="s">
        <v>90</v>
      </c>
      <c r="E1302" s="127">
        <v>1</v>
      </c>
      <c r="F1302" s="127">
        <v>2</v>
      </c>
      <c r="G1302" s="130" t="s">
        <v>79</v>
      </c>
    </row>
    <row r="1303" spans="2:7" x14ac:dyDescent="0.25">
      <c r="B1303" s="126" t="s">
        <v>75</v>
      </c>
      <c r="C1303" s="127">
        <v>9</v>
      </c>
      <c r="D1303" s="127" t="s">
        <v>89</v>
      </c>
      <c r="E1303" s="127">
        <v>0</v>
      </c>
      <c r="F1303" s="127">
        <v>3</v>
      </c>
      <c r="G1303" s="130" t="s">
        <v>85</v>
      </c>
    </row>
    <row r="1304" spans="2:7" x14ac:dyDescent="0.25">
      <c r="B1304" s="126" t="s">
        <v>75</v>
      </c>
      <c r="C1304" s="127">
        <v>9</v>
      </c>
      <c r="D1304" s="127" t="s">
        <v>86</v>
      </c>
      <c r="E1304" s="127">
        <v>4</v>
      </c>
      <c r="F1304" s="127">
        <v>0</v>
      </c>
      <c r="G1304" s="130" t="s">
        <v>94</v>
      </c>
    </row>
    <row r="1305" spans="2:7" x14ac:dyDescent="0.25">
      <c r="B1305" s="126" t="s">
        <v>75</v>
      </c>
      <c r="C1305" s="127">
        <v>9</v>
      </c>
      <c r="D1305" s="127" t="s">
        <v>174</v>
      </c>
      <c r="E1305" s="127">
        <v>1</v>
      </c>
      <c r="F1305" s="127">
        <v>1</v>
      </c>
      <c r="G1305" s="130" t="s">
        <v>84</v>
      </c>
    </row>
    <row r="1306" spans="2:7" x14ac:dyDescent="0.25">
      <c r="B1306" s="126" t="s">
        <v>75</v>
      </c>
      <c r="C1306" s="127">
        <v>9</v>
      </c>
      <c r="D1306" s="127" t="s">
        <v>81</v>
      </c>
      <c r="E1306" s="127">
        <v>0</v>
      </c>
      <c r="F1306" s="127">
        <v>0</v>
      </c>
      <c r="G1306" s="130" t="s">
        <v>93</v>
      </c>
    </row>
    <row r="1307" spans="2:7" x14ac:dyDescent="0.25">
      <c r="B1307" s="126" t="s">
        <v>75</v>
      </c>
      <c r="C1307" s="127">
        <v>9</v>
      </c>
      <c r="D1307" s="127" t="s">
        <v>87</v>
      </c>
      <c r="E1307" s="127">
        <v>2</v>
      </c>
      <c r="F1307" s="127">
        <v>6</v>
      </c>
      <c r="G1307" s="130" t="s">
        <v>83</v>
      </c>
    </row>
    <row r="1308" spans="2:7" x14ac:dyDescent="0.25">
      <c r="B1308" s="126" t="s">
        <v>75</v>
      </c>
      <c r="C1308" s="127">
        <v>10</v>
      </c>
      <c r="D1308" s="127" t="s">
        <v>94</v>
      </c>
      <c r="E1308" s="127">
        <v>0</v>
      </c>
      <c r="F1308" s="127">
        <v>3</v>
      </c>
      <c r="G1308" s="130" t="s">
        <v>84</v>
      </c>
    </row>
    <row r="1309" spans="2:7" x14ac:dyDescent="0.25">
      <c r="B1309" s="126" t="s">
        <v>75</v>
      </c>
      <c r="C1309" s="127">
        <v>10</v>
      </c>
      <c r="D1309" s="127" t="s">
        <v>79</v>
      </c>
      <c r="E1309" s="127">
        <v>1</v>
      </c>
      <c r="F1309" s="127">
        <v>1</v>
      </c>
      <c r="G1309" s="130" t="s">
        <v>91</v>
      </c>
    </row>
    <row r="1310" spans="2:7" x14ac:dyDescent="0.25">
      <c r="B1310" s="126" t="s">
        <v>75</v>
      </c>
      <c r="C1310" s="127">
        <v>10</v>
      </c>
      <c r="D1310" s="127" t="s">
        <v>93</v>
      </c>
      <c r="E1310" s="127">
        <v>3</v>
      </c>
      <c r="F1310" s="127">
        <v>1</v>
      </c>
      <c r="G1310" s="130" t="s">
        <v>172</v>
      </c>
    </row>
    <row r="1311" spans="2:7" x14ac:dyDescent="0.25">
      <c r="B1311" s="126" t="s">
        <v>75</v>
      </c>
      <c r="C1311" s="127">
        <v>10</v>
      </c>
      <c r="D1311" s="127" t="s">
        <v>83</v>
      </c>
      <c r="E1311" s="127">
        <v>1</v>
      </c>
      <c r="F1311" s="127">
        <v>4</v>
      </c>
      <c r="G1311" s="130" t="s">
        <v>86</v>
      </c>
    </row>
    <row r="1312" spans="2:7" x14ac:dyDescent="0.25">
      <c r="B1312" s="126" t="s">
        <v>75</v>
      </c>
      <c r="C1312" s="127">
        <v>10</v>
      </c>
      <c r="D1312" s="127" t="s">
        <v>92</v>
      </c>
      <c r="E1312" s="127">
        <v>2</v>
      </c>
      <c r="F1312" s="127">
        <v>2</v>
      </c>
      <c r="G1312" s="130" t="s">
        <v>174</v>
      </c>
    </row>
    <row r="1313" spans="2:7" x14ac:dyDescent="0.25">
      <c r="B1313" s="126" t="s">
        <v>75</v>
      </c>
      <c r="C1313" s="127">
        <v>10</v>
      </c>
      <c r="D1313" s="127" t="s">
        <v>85</v>
      </c>
      <c r="E1313" s="127">
        <v>0</v>
      </c>
      <c r="F1313" s="127">
        <v>1</v>
      </c>
      <c r="G1313" s="130" t="s">
        <v>80</v>
      </c>
    </row>
    <row r="1314" spans="2:7" x14ac:dyDescent="0.25">
      <c r="B1314" s="126" t="s">
        <v>75</v>
      </c>
      <c r="C1314" s="127">
        <v>10</v>
      </c>
      <c r="D1314" s="127" t="s">
        <v>88</v>
      </c>
      <c r="E1314" s="127">
        <v>0</v>
      </c>
      <c r="F1314" s="127">
        <v>3</v>
      </c>
      <c r="G1314" s="130" t="s">
        <v>81</v>
      </c>
    </row>
    <row r="1315" spans="2:7" x14ac:dyDescent="0.25">
      <c r="B1315" s="126" t="s">
        <v>75</v>
      </c>
      <c r="C1315" s="127">
        <v>10</v>
      </c>
      <c r="D1315" s="127" t="s">
        <v>82</v>
      </c>
      <c r="E1315" s="127">
        <v>3</v>
      </c>
      <c r="F1315" s="127">
        <v>0</v>
      </c>
      <c r="G1315" s="130" t="s">
        <v>89</v>
      </c>
    </row>
    <row r="1316" spans="2:7" x14ac:dyDescent="0.25">
      <c r="B1316" s="126" t="s">
        <v>75</v>
      </c>
      <c r="C1316" s="127">
        <v>10</v>
      </c>
      <c r="D1316" s="127" t="s">
        <v>90</v>
      </c>
      <c r="E1316" s="127">
        <v>2</v>
      </c>
      <c r="F1316" s="127">
        <v>1</v>
      </c>
      <c r="G1316" s="130" t="s">
        <v>87</v>
      </c>
    </row>
    <row r="1317" spans="2:7" x14ac:dyDescent="0.25">
      <c r="B1317" s="126" t="s">
        <v>75</v>
      </c>
      <c r="C1317" s="127">
        <v>11</v>
      </c>
      <c r="D1317" s="127" t="s">
        <v>172</v>
      </c>
      <c r="E1317" s="127">
        <v>2</v>
      </c>
      <c r="F1317" s="127">
        <v>1</v>
      </c>
      <c r="G1317" s="130" t="s">
        <v>85</v>
      </c>
    </row>
    <row r="1318" spans="2:7" x14ac:dyDescent="0.25">
      <c r="B1318" s="126" t="s">
        <v>75</v>
      </c>
      <c r="C1318" s="127">
        <v>11</v>
      </c>
      <c r="D1318" s="127" t="s">
        <v>86</v>
      </c>
      <c r="E1318" s="127">
        <v>2</v>
      </c>
      <c r="F1318" s="127">
        <v>1</v>
      </c>
      <c r="G1318" s="130" t="s">
        <v>92</v>
      </c>
    </row>
    <row r="1319" spans="2:7" x14ac:dyDescent="0.25">
      <c r="B1319" s="126" t="s">
        <v>75</v>
      </c>
      <c r="C1319" s="127">
        <v>11</v>
      </c>
      <c r="D1319" s="127" t="s">
        <v>87</v>
      </c>
      <c r="E1319" s="127">
        <v>1</v>
      </c>
      <c r="F1319" s="127">
        <v>3</v>
      </c>
      <c r="G1319" s="130" t="s">
        <v>82</v>
      </c>
    </row>
    <row r="1320" spans="2:7" x14ac:dyDescent="0.25">
      <c r="B1320" s="126" t="s">
        <v>75</v>
      </c>
      <c r="C1320" s="127">
        <v>11</v>
      </c>
      <c r="D1320" s="127" t="s">
        <v>91</v>
      </c>
      <c r="E1320" s="127">
        <v>1</v>
      </c>
      <c r="F1320" s="127">
        <v>3</v>
      </c>
      <c r="G1320" s="130" t="s">
        <v>90</v>
      </c>
    </row>
    <row r="1321" spans="2:7" x14ac:dyDescent="0.25">
      <c r="B1321" s="126" t="s">
        <v>75</v>
      </c>
      <c r="C1321" s="127">
        <v>11</v>
      </c>
      <c r="D1321" s="127" t="s">
        <v>89</v>
      </c>
      <c r="E1321" s="127">
        <v>4</v>
      </c>
      <c r="F1321" s="127">
        <v>1</v>
      </c>
      <c r="G1321" s="130" t="s">
        <v>88</v>
      </c>
    </row>
    <row r="1322" spans="2:7" x14ac:dyDescent="0.25">
      <c r="B1322" s="126" t="s">
        <v>75</v>
      </c>
      <c r="C1322" s="127">
        <v>11</v>
      </c>
      <c r="D1322" s="127" t="s">
        <v>174</v>
      </c>
      <c r="E1322" s="127">
        <v>0</v>
      </c>
      <c r="F1322" s="127">
        <v>2</v>
      </c>
      <c r="G1322" s="130" t="s">
        <v>94</v>
      </c>
    </row>
    <row r="1323" spans="2:7" x14ac:dyDescent="0.25">
      <c r="B1323" s="126" t="s">
        <v>75</v>
      </c>
      <c r="C1323" s="127">
        <v>11</v>
      </c>
      <c r="D1323" s="127" t="s">
        <v>80</v>
      </c>
      <c r="E1323" s="127">
        <v>3</v>
      </c>
      <c r="F1323" s="127">
        <v>2</v>
      </c>
      <c r="G1323" s="130" t="s">
        <v>79</v>
      </c>
    </row>
    <row r="1324" spans="2:7" x14ac:dyDescent="0.25">
      <c r="B1324" s="126" t="s">
        <v>75</v>
      </c>
      <c r="C1324" s="127">
        <v>11</v>
      </c>
      <c r="D1324" s="127" t="s">
        <v>81</v>
      </c>
      <c r="E1324" s="127">
        <v>3</v>
      </c>
      <c r="F1324" s="127">
        <v>0</v>
      </c>
      <c r="G1324" s="130" t="s">
        <v>83</v>
      </c>
    </row>
    <row r="1325" spans="2:7" x14ac:dyDescent="0.25">
      <c r="B1325" s="126" t="s">
        <v>75</v>
      </c>
      <c r="C1325" s="127">
        <v>11</v>
      </c>
      <c r="D1325" s="127" t="s">
        <v>84</v>
      </c>
      <c r="E1325" s="127">
        <v>3</v>
      </c>
      <c r="F1325" s="127">
        <v>0</v>
      </c>
      <c r="G1325" s="130" t="s">
        <v>93</v>
      </c>
    </row>
    <row r="1326" spans="2:7" x14ac:dyDescent="0.25">
      <c r="B1326" s="126" t="s">
        <v>75</v>
      </c>
      <c r="C1326" s="127">
        <v>12</v>
      </c>
      <c r="D1326" s="127" t="s">
        <v>83</v>
      </c>
      <c r="E1326" s="127">
        <v>2</v>
      </c>
      <c r="F1326" s="127">
        <v>0</v>
      </c>
      <c r="G1326" s="130" t="s">
        <v>94</v>
      </c>
    </row>
    <row r="1327" spans="2:7" x14ac:dyDescent="0.25">
      <c r="B1327" s="126" t="s">
        <v>75</v>
      </c>
      <c r="C1327" s="127">
        <v>12</v>
      </c>
      <c r="D1327" s="127" t="s">
        <v>79</v>
      </c>
      <c r="E1327" s="127">
        <v>3</v>
      </c>
      <c r="F1327" s="127">
        <v>3</v>
      </c>
      <c r="G1327" s="130" t="s">
        <v>89</v>
      </c>
    </row>
    <row r="1328" spans="2:7" x14ac:dyDescent="0.25">
      <c r="B1328" s="126" t="s">
        <v>75</v>
      </c>
      <c r="C1328" s="127">
        <v>12</v>
      </c>
      <c r="D1328" s="127" t="s">
        <v>88</v>
      </c>
      <c r="E1328" s="127">
        <v>3</v>
      </c>
      <c r="F1328" s="127">
        <v>3</v>
      </c>
      <c r="G1328" s="130" t="s">
        <v>86</v>
      </c>
    </row>
    <row r="1329" spans="2:7" x14ac:dyDescent="0.25">
      <c r="B1329" s="126" t="s">
        <v>75</v>
      </c>
      <c r="C1329" s="127">
        <v>12</v>
      </c>
      <c r="D1329" s="127" t="s">
        <v>92</v>
      </c>
      <c r="E1329" s="127">
        <v>1</v>
      </c>
      <c r="F1329" s="127">
        <v>3</v>
      </c>
      <c r="G1329" s="130" t="s">
        <v>84</v>
      </c>
    </row>
    <row r="1330" spans="2:7" x14ac:dyDescent="0.25">
      <c r="B1330" s="126" t="s">
        <v>75</v>
      </c>
      <c r="C1330" s="127">
        <v>12</v>
      </c>
      <c r="D1330" s="127" t="s">
        <v>90</v>
      </c>
      <c r="E1330" s="127">
        <v>1</v>
      </c>
      <c r="F1330" s="127">
        <v>2</v>
      </c>
      <c r="G1330" s="130" t="s">
        <v>80</v>
      </c>
    </row>
    <row r="1331" spans="2:7" x14ac:dyDescent="0.25">
      <c r="B1331" s="126" t="s">
        <v>75</v>
      </c>
      <c r="C1331" s="127">
        <v>12</v>
      </c>
      <c r="D1331" s="127" t="s">
        <v>85</v>
      </c>
      <c r="E1331" s="127">
        <v>1</v>
      </c>
      <c r="F1331" s="127">
        <v>0</v>
      </c>
      <c r="G1331" s="130" t="s">
        <v>81</v>
      </c>
    </row>
    <row r="1332" spans="2:7" x14ac:dyDescent="0.25">
      <c r="B1332" s="126" t="s">
        <v>75</v>
      </c>
      <c r="C1332" s="127">
        <v>12</v>
      </c>
      <c r="D1332" s="127" t="s">
        <v>93</v>
      </c>
      <c r="E1332" s="127">
        <v>5</v>
      </c>
      <c r="F1332" s="127">
        <v>2</v>
      </c>
      <c r="G1332" s="130" t="s">
        <v>174</v>
      </c>
    </row>
    <row r="1333" spans="2:7" x14ac:dyDescent="0.25">
      <c r="B1333" s="126" t="s">
        <v>75</v>
      </c>
      <c r="C1333" s="127">
        <v>12</v>
      </c>
      <c r="D1333" s="127" t="s">
        <v>91</v>
      </c>
      <c r="E1333" s="127">
        <v>1</v>
      </c>
      <c r="F1333" s="127">
        <v>1</v>
      </c>
      <c r="G1333" s="130" t="s">
        <v>87</v>
      </c>
    </row>
    <row r="1334" spans="2:7" x14ac:dyDescent="0.25">
      <c r="B1334" s="126" t="s">
        <v>75</v>
      </c>
      <c r="C1334" s="127">
        <v>12</v>
      </c>
      <c r="D1334" s="127" t="s">
        <v>82</v>
      </c>
      <c r="E1334" s="127">
        <v>4</v>
      </c>
      <c r="F1334" s="127">
        <v>1</v>
      </c>
      <c r="G1334" s="130" t="s">
        <v>172</v>
      </c>
    </row>
    <row r="1335" spans="2:7" x14ac:dyDescent="0.25">
      <c r="B1335" s="126" t="s">
        <v>75</v>
      </c>
      <c r="C1335" s="127">
        <v>13</v>
      </c>
      <c r="D1335" s="127" t="s">
        <v>89</v>
      </c>
      <c r="E1335" s="127">
        <v>0</v>
      </c>
      <c r="F1335" s="127">
        <v>1</v>
      </c>
      <c r="G1335" s="130" t="s">
        <v>90</v>
      </c>
    </row>
    <row r="1336" spans="2:7" x14ac:dyDescent="0.25">
      <c r="B1336" s="126" t="s">
        <v>75</v>
      </c>
      <c r="C1336" s="127">
        <v>13</v>
      </c>
      <c r="D1336" s="127" t="s">
        <v>80</v>
      </c>
      <c r="E1336" s="127">
        <v>2</v>
      </c>
      <c r="F1336" s="127">
        <v>0</v>
      </c>
      <c r="G1336" s="130" t="s">
        <v>91</v>
      </c>
    </row>
    <row r="1337" spans="2:7" x14ac:dyDescent="0.25">
      <c r="B1337" s="126" t="s">
        <v>75</v>
      </c>
      <c r="C1337" s="127">
        <v>13</v>
      </c>
      <c r="D1337" s="127" t="s">
        <v>94</v>
      </c>
      <c r="E1337" s="127">
        <v>1</v>
      </c>
      <c r="F1337" s="127">
        <v>0</v>
      </c>
      <c r="G1337" s="130" t="s">
        <v>92</v>
      </c>
    </row>
    <row r="1338" spans="2:7" x14ac:dyDescent="0.25">
      <c r="B1338" s="126" t="s">
        <v>75</v>
      </c>
      <c r="C1338" s="127">
        <v>13</v>
      </c>
      <c r="D1338" s="127" t="s">
        <v>87</v>
      </c>
      <c r="E1338" s="127">
        <v>1</v>
      </c>
      <c r="F1338" s="127">
        <v>2</v>
      </c>
      <c r="G1338" s="130" t="s">
        <v>79</v>
      </c>
    </row>
    <row r="1339" spans="2:7" x14ac:dyDescent="0.25">
      <c r="B1339" s="126" t="s">
        <v>75</v>
      </c>
      <c r="C1339" s="127">
        <v>13</v>
      </c>
      <c r="D1339" s="127" t="s">
        <v>172</v>
      </c>
      <c r="E1339" s="127">
        <v>0</v>
      </c>
      <c r="F1339" s="127">
        <v>2</v>
      </c>
      <c r="G1339" s="130" t="s">
        <v>88</v>
      </c>
    </row>
    <row r="1340" spans="2:7" x14ac:dyDescent="0.25">
      <c r="B1340" s="126" t="s">
        <v>75</v>
      </c>
      <c r="C1340" s="127">
        <v>13</v>
      </c>
      <c r="D1340" s="127" t="s">
        <v>86</v>
      </c>
      <c r="E1340" s="127">
        <v>1</v>
      </c>
      <c r="F1340" s="127">
        <v>1</v>
      </c>
      <c r="G1340" s="130" t="s">
        <v>93</v>
      </c>
    </row>
    <row r="1341" spans="2:7" x14ac:dyDescent="0.25">
      <c r="B1341" s="126" t="s">
        <v>75</v>
      </c>
      <c r="C1341" s="127">
        <v>13</v>
      </c>
      <c r="D1341" s="127" t="s">
        <v>81</v>
      </c>
      <c r="E1341" s="127">
        <v>2</v>
      </c>
      <c r="F1341" s="127">
        <v>0</v>
      </c>
      <c r="G1341" s="130" t="s">
        <v>82</v>
      </c>
    </row>
    <row r="1342" spans="2:7" x14ac:dyDescent="0.25">
      <c r="B1342" s="126" t="s">
        <v>75</v>
      </c>
      <c r="C1342" s="127">
        <v>13</v>
      </c>
      <c r="D1342" s="127" t="s">
        <v>84</v>
      </c>
      <c r="E1342" s="127">
        <v>1</v>
      </c>
      <c r="F1342" s="127">
        <v>2</v>
      </c>
      <c r="G1342" s="130" t="s">
        <v>85</v>
      </c>
    </row>
    <row r="1343" spans="2:7" x14ac:dyDescent="0.25">
      <c r="B1343" s="126" t="s">
        <v>75</v>
      </c>
      <c r="C1343" s="127">
        <v>13</v>
      </c>
      <c r="D1343" s="127" t="s">
        <v>174</v>
      </c>
      <c r="E1343" s="127">
        <v>1</v>
      </c>
      <c r="F1343" s="127">
        <v>1</v>
      </c>
      <c r="G1343" s="130" t="s">
        <v>83</v>
      </c>
    </row>
    <row r="1344" spans="2:7" x14ac:dyDescent="0.25">
      <c r="B1344" s="126" t="s">
        <v>75</v>
      </c>
      <c r="C1344" s="127">
        <v>14</v>
      </c>
      <c r="D1344" s="127" t="s">
        <v>87</v>
      </c>
      <c r="E1344" s="127">
        <v>3</v>
      </c>
      <c r="F1344" s="127">
        <v>1</v>
      </c>
      <c r="G1344" s="130" t="s">
        <v>89</v>
      </c>
    </row>
    <row r="1345" spans="2:7" x14ac:dyDescent="0.25">
      <c r="B1345" s="126" t="s">
        <v>75</v>
      </c>
      <c r="C1345" s="127">
        <v>14</v>
      </c>
      <c r="D1345" s="127" t="s">
        <v>79</v>
      </c>
      <c r="E1345" s="127">
        <v>3</v>
      </c>
      <c r="F1345" s="127">
        <v>0</v>
      </c>
      <c r="G1345" s="130" t="s">
        <v>174</v>
      </c>
    </row>
    <row r="1346" spans="2:7" x14ac:dyDescent="0.25">
      <c r="B1346" s="126" t="s">
        <v>75</v>
      </c>
      <c r="C1346" s="127">
        <v>14</v>
      </c>
      <c r="D1346" s="127" t="s">
        <v>93</v>
      </c>
      <c r="E1346" s="127">
        <v>1</v>
      </c>
      <c r="F1346" s="127">
        <v>2</v>
      </c>
      <c r="G1346" s="130" t="s">
        <v>80</v>
      </c>
    </row>
    <row r="1347" spans="2:7" x14ac:dyDescent="0.25">
      <c r="B1347" s="126" t="s">
        <v>75</v>
      </c>
      <c r="C1347" s="127">
        <v>14</v>
      </c>
      <c r="D1347" s="127" t="s">
        <v>83</v>
      </c>
      <c r="E1347" s="127">
        <v>1</v>
      </c>
      <c r="F1347" s="127">
        <v>0</v>
      </c>
      <c r="G1347" s="130" t="s">
        <v>92</v>
      </c>
    </row>
    <row r="1348" spans="2:7" x14ac:dyDescent="0.25">
      <c r="B1348" s="126" t="s">
        <v>75</v>
      </c>
      <c r="C1348" s="127">
        <v>14</v>
      </c>
      <c r="D1348" s="127" t="s">
        <v>91</v>
      </c>
      <c r="E1348" s="127">
        <v>3</v>
      </c>
      <c r="F1348" s="127">
        <v>0</v>
      </c>
      <c r="G1348" s="130" t="s">
        <v>81</v>
      </c>
    </row>
    <row r="1349" spans="2:7" x14ac:dyDescent="0.25">
      <c r="B1349" s="126" t="s">
        <v>75</v>
      </c>
      <c r="C1349" s="127">
        <v>14</v>
      </c>
      <c r="D1349" s="127" t="s">
        <v>85</v>
      </c>
      <c r="E1349" s="127">
        <v>2</v>
      </c>
      <c r="F1349" s="127">
        <v>2</v>
      </c>
      <c r="G1349" s="130" t="s">
        <v>86</v>
      </c>
    </row>
    <row r="1350" spans="2:7" x14ac:dyDescent="0.25">
      <c r="B1350" s="126" t="s">
        <v>75</v>
      </c>
      <c r="C1350" s="127">
        <v>14</v>
      </c>
      <c r="D1350" s="127" t="s">
        <v>88</v>
      </c>
      <c r="E1350" s="127">
        <v>1</v>
      </c>
      <c r="F1350" s="127">
        <v>0</v>
      </c>
      <c r="G1350" s="130" t="s">
        <v>84</v>
      </c>
    </row>
    <row r="1351" spans="2:7" x14ac:dyDescent="0.25">
      <c r="B1351" s="126" t="s">
        <v>75</v>
      </c>
      <c r="C1351" s="127">
        <v>14</v>
      </c>
      <c r="D1351" s="127" t="s">
        <v>90</v>
      </c>
      <c r="E1351" s="127">
        <v>1</v>
      </c>
      <c r="F1351" s="127">
        <v>1</v>
      </c>
      <c r="G1351" s="130" t="s">
        <v>172</v>
      </c>
    </row>
    <row r="1352" spans="2:7" x14ac:dyDescent="0.25">
      <c r="B1352" s="126" t="s">
        <v>75</v>
      </c>
      <c r="C1352" s="127">
        <v>14</v>
      </c>
      <c r="D1352" s="127" t="s">
        <v>82</v>
      </c>
      <c r="E1352" s="127">
        <v>3</v>
      </c>
      <c r="F1352" s="127">
        <v>0</v>
      </c>
      <c r="G1352" s="130" t="s">
        <v>94</v>
      </c>
    </row>
    <row r="1353" spans="2:7" x14ac:dyDescent="0.25">
      <c r="B1353" s="126" t="s">
        <v>75</v>
      </c>
      <c r="C1353" s="127">
        <v>15</v>
      </c>
      <c r="D1353" s="127" t="s">
        <v>174</v>
      </c>
      <c r="E1353" s="127">
        <v>0</v>
      </c>
      <c r="F1353" s="127">
        <v>2</v>
      </c>
      <c r="G1353" s="130" t="s">
        <v>85</v>
      </c>
    </row>
    <row r="1354" spans="2:7" x14ac:dyDescent="0.25">
      <c r="B1354" s="126" t="s">
        <v>75</v>
      </c>
      <c r="C1354" s="127">
        <v>15</v>
      </c>
      <c r="D1354" s="127" t="s">
        <v>86</v>
      </c>
      <c r="E1354" s="127">
        <v>0</v>
      </c>
      <c r="F1354" s="127">
        <v>0</v>
      </c>
      <c r="G1354" s="130" t="s">
        <v>82</v>
      </c>
    </row>
    <row r="1355" spans="2:7" x14ac:dyDescent="0.25">
      <c r="B1355" s="126" t="s">
        <v>75</v>
      </c>
      <c r="C1355" s="127">
        <v>15</v>
      </c>
      <c r="D1355" s="127" t="s">
        <v>94</v>
      </c>
      <c r="E1355" s="127">
        <v>2</v>
      </c>
      <c r="F1355" s="127">
        <v>1</v>
      </c>
      <c r="G1355" s="130" t="s">
        <v>88</v>
      </c>
    </row>
    <row r="1356" spans="2:7" x14ac:dyDescent="0.25">
      <c r="B1356" s="126" t="s">
        <v>75</v>
      </c>
      <c r="C1356" s="127">
        <v>15</v>
      </c>
      <c r="D1356" s="127" t="s">
        <v>92</v>
      </c>
      <c r="E1356" s="127">
        <v>1</v>
      </c>
      <c r="F1356" s="127">
        <v>1</v>
      </c>
      <c r="G1356" s="130" t="s">
        <v>93</v>
      </c>
    </row>
    <row r="1357" spans="2:7" x14ac:dyDescent="0.25">
      <c r="B1357" s="126" t="s">
        <v>75</v>
      </c>
      <c r="C1357" s="127">
        <v>15</v>
      </c>
      <c r="D1357" s="127" t="s">
        <v>172</v>
      </c>
      <c r="E1357" s="127">
        <v>0</v>
      </c>
      <c r="F1357" s="127">
        <v>4</v>
      </c>
      <c r="G1357" s="130" t="s">
        <v>79</v>
      </c>
    </row>
    <row r="1358" spans="2:7" x14ac:dyDescent="0.25">
      <c r="B1358" s="126" t="s">
        <v>75</v>
      </c>
      <c r="C1358" s="127">
        <v>15</v>
      </c>
      <c r="D1358" s="127" t="s">
        <v>89</v>
      </c>
      <c r="E1358" s="127">
        <v>2</v>
      </c>
      <c r="F1358" s="127">
        <v>0</v>
      </c>
      <c r="G1358" s="130" t="s">
        <v>91</v>
      </c>
    </row>
    <row r="1359" spans="2:7" x14ac:dyDescent="0.25">
      <c r="B1359" s="126" t="s">
        <v>75</v>
      </c>
      <c r="C1359" s="127">
        <v>15</v>
      </c>
      <c r="D1359" s="127" t="s">
        <v>80</v>
      </c>
      <c r="E1359" s="127">
        <v>2</v>
      </c>
      <c r="F1359" s="127">
        <v>1</v>
      </c>
      <c r="G1359" s="130" t="s">
        <v>87</v>
      </c>
    </row>
    <row r="1360" spans="2:7" x14ac:dyDescent="0.25">
      <c r="B1360" s="126" t="s">
        <v>75</v>
      </c>
      <c r="C1360" s="127">
        <v>15</v>
      </c>
      <c r="D1360" s="127" t="s">
        <v>81</v>
      </c>
      <c r="E1360" s="127">
        <v>4</v>
      </c>
      <c r="F1360" s="127">
        <v>1</v>
      </c>
      <c r="G1360" s="130" t="s">
        <v>90</v>
      </c>
    </row>
    <row r="1361" spans="2:7" x14ac:dyDescent="0.25">
      <c r="B1361" s="126" t="s">
        <v>75</v>
      </c>
      <c r="C1361" s="127">
        <v>15</v>
      </c>
      <c r="D1361" s="127" t="s">
        <v>84</v>
      </c>
      <c r="E1361" s="127">
        <v>2</v>
      </c>
      <c r="F1361" s="127">
        <v>1</v>
      </c>
      <c r="G1361" s="130" t="s">
        <v>83</v>
      </c>
    </row>
    <row r="1362" spans="2:7" x14ac:dyDescent="0.25">
      <c r="B1362" s="126" t="s">
        <v>75</v>
      </c>
      <c r="C1362" s="127">
        <v>16</v>
      </c>
      <c r="D1362" s="127" t="s">
        <v>82</v>
      </c>
      <c r="E1362" s="127">
        <v>2</v>
      </c>
      <c r="F1362" s="127">
        <v>0</v>
      </c>
      <c r="G1362" s="130" t="s">
        <v>174</v>
      </c>
    </row>
    <row r="1363" spans="2:7" x14ac:dyDescent="0.25">
      <c r="B1363" s="126" t="s">
        <v>75</v>
      </c>
      <c r="C1363" s="127">
        <v>16</v>
      </c>
      <c r="D1363" s="127" t="s">
        <v>88</v>
      </c>
      <c r="E1363" s="127">
        <v>2</v>
      </c>
      <c r="F1363" s="127">
        <v>2</v>
      </c>
      <c r="G1363" s="130" t="s">
        <v>92</v>
      </c>
    </row>
    <row r="1364" spans="2:7" x14ac:dyDescent="0.25">
      <c r="B1364" s="126" t="s">
        <v>75</v>
      </c>
      <c r="C1364" s="127">
        <v>16</v>
      </c>
      <c r="D1364" s="127" t="s">
        <v>85</v>
      </c>
      <c r="E1364" s="127">
        <v>2</v>
      </c>
      <c r="F1364" s="127">
        <v>0</v>
      </c>
      <c r="G1364" s="130" t="s">
        <v>94</v>
      </c>
    </row>
    <row r="1365" spans="2:7" x14ac:dyDescent="0.25">
      <c r="B1365" s="126" t="s">
        <v>75</v>
      </c>
      <c r="C1365" s="127">
        <v>16</v>
      </c>
      <c r="D1365" s="127" t="s">
        <v>89</v>
      </c>
      <c r="E1365" s="127">
        <v>2</v>
      </c>
      <c r="F1365" s="127">
        <v>1</v>
      </c>
      <c r="G1365" s="130" t="s">
        <v>80</v>
      </c>
    </row>
    <row r="1366" spans="2:7" x14ac:dyDescent="0.25">
      <c r="B1366" s="126" t="s">
        <v>75</v>
      </c>
      <c r="C1366" s="127">
        <v>16</v>
      </c>
      <c r="D1366" s="127" t="s">
        <v>93</v>
      </c>
      <c r="E1366" s="127">
        <v>1</v>
      </c>
      <c r="F1366" s="127">
        <v>2</v>
      </c>
      <c r="G1366" s="130" t="s">
        <v>83</v>
      </c>
    </row>
    <row r="1367" spans="2:7" x14ac:dyDescent="0.25">
      <c r="B1367" s="126" t="s">
        <v>75</v>
      </c>
      <c r="C1367" s="127">
        <v>16</v>
      </c>
      <c r="D1367" s="127" t="s">
        <v>79</v>
      </c>
      <c r="E1367" s="127">
        <v>1</v>
      </c>
      <c r="F1367" s="127">
        <v>0</v>
      </c>
      <c r="G1367" s="130" t="s">
        <v>81</v>
      </c>
    </row>
    <row r="1368" spans="2:7" x14ac:dyDescent="0.25">
      <c r="B1368" s="126" t="s">
        <v>75</v>
      </c>
      <c r="C1368" s="127">
        <v>16</v>
      </c>
      <c r="D1368" s="127" t="s">
        <v>87</v>
      </c>
      <c r="E1368" s="127">
        <v>1</v>
      </c>
      <c r="F1368" s="127">
        <v>1</v>
      </c>
      <c r="G1368" s="130" t="s">
        <v>86</v>
      </c>
    </row>
    <row r="1369" spans="2:7" x14ac:dyDescent="0.25">
      <c r="B1369" s="126" t="s">
        <v>75</v>
      </c>
      <c r="C1369" s="127">
        <v>16</v>
      </c>
      <c r="D1369" s="127" t="s">
        <v>91</v>
      </c>
      <c r="E1369" s="127">
        <v>1</v>
      </c>
      <c r="F1369" s="127">
        <v>1</v>
      </c>
      <c r="G1369" s="130" t="s">
        <v>172</v>
      </c>
    </row>
    <row r="1370" spans="2:7" x14ac:dyDescent="0.25">
      <c r="B1370" s="126" t="s">
        <v>75</v>
      </c>
      <c r="C1370" s="127">
        <v>16</v>
      </c>
      <c r="D1370" s="127" t="s">
        <v>90</v>
      </c>
      <c r="E1370" s="127">
        <v>2</v>
      </c>
      <c r="F1370" s="127">
        <v>2</v>
      </c>
      <c r="G1370" s="130" t="s">
        <v>84</v>
      </c>
    </row>
    <row r="1371" spans="2:7" x14ac:dyDescent="0.25">
      <c r="B1371" s="126" t="s">
        <v>75</v>
      </c>
      <c r="C1371" s="127">
        <v>17</v>
      </c>
      <c r="D1371" s="127" t="s">
        <v>80</v>
      </c>
      <c r="E1371" s="127">
        <v>2</v>
      </c>
      <c r="F1371" s="127">
        <v>1</v>
      </c>
      <c r="G1371" s="130" t="s">
        <v>82</v>
      </c>
    </row>
    <row r="1372" spans="2:7" x14ac:dyDescent="0.25">
      <c r="B1372" s="126" t="s">
        <v>75</v>
      </c>
      <c r="C1372" s="127">
        <v>17</v>
      </c>
      <c r="D1372" s="127" t="s">
        <v>83</v>
      </c>
      <c r="E1372" s="127">
        <v>3</v>
      </c>
      <c r="F1372" s="127">
        <v>1</v>
      </c>
      <c r="G1372" s="130" t="s">
        <v>88</v>
      </c>
    </row>
    <row r="1373" spans="2:7" x14ac:dyDescent="0.25">
      <c r="B1373" s="126" t="s">
        <v>75</v>
      </c>
      <c r="C1373" s="127">
        <v>17</v>
      </c>
      <c r="D1373" s="127" t="s">
        <v>81</v>
      </c>
      <c r="E1373" s="127">
        <v>3</v>
      </c>
      <c r="F1373" s="127">
        <v>2</v>
      </c>
      <c r="G1373" s="130" t="s">
        <v>87</v>
      </c>
    </row>
    <row r="1374" spans="2:7" x14ac:dyDescent="0.25">
      <c r="B1374" s="126" t="s">
        <v>75</v>
      </c>
      <c r="C1374" s="127">
        <v>17</v>
      </c>
      <c r="D1374" s="127" t="s">
        <v>94</v>
      </c>
      <c r="E1374" s="127">
        <v>1</v>
      </c>
      <c r="F1374" s="127">
        <v>3</v>
      </c>
      <c r="G1374" s="130" t="s">
        <v>93</v>
      </c>
    </row>
    <row r="1375" spans="2:7" x14ac:dyDescent="0.25">
      <c r="B1375" s="126" t="s">
        <v>75</v>
      </c>
      <c r="C1375" s="127">
        <v>17</v>
      </c>
      <c r="D1375" s="127" t="s">
        <v>172</v>
      </c>
      <c r="E1375" s="127">
        <v>0</v>
      </c>
      <c r="F1375" s="127">
        <v>1</v>
      </c>
      <c r="G1375" s="130" t="s">
        <v>89</v>
      </c>
    </row>
    <row r="1376" spans="2:7" x14ac:dyDescent="0.25">
      <c r="B1376" s="126" t="s">
        <v>75</v>
      </c>
      <c r="C1376" s="127">
        <v>17</v>
      </c>
      <c r="D1376" s="127" t="s">
        <v>174</v>
      </c>
      <c r="E1376" s="127">
        <v>0</v>
      </c>
      <c r="F1376" s="127">
        <v>1</v>
      </c>
      <c r="G1376" s="130" t="s">
        <v>91</v>
      </c>
    </row>
    <row r="1377" spans="2:7" x14ac:dyDescent="0.25">
      <c r="B1377" s="126" t="s">
        <v>75</v>
      </c>
      <c r="C1377" s="127">
        <v>17</v>
      </c>
      <c r="D1377" s="127" t="s">
        <v>84</v>
      </c>
      <c r="E1377" s="127">
        <v>0</v>
      </c>
      <c r="F1377" s="127">
        <v>3</v>
      </c>
      <c r="G1377" s="130" t="s">
        <v>79</v>
      </c>
    </row>
    <row r="1378" spans="2:7" x14ac:dyDescent="0.25">
      <c r="B1378" s="126" t="s">
        <v>75</v>
      </c>
      <c r="C1378" s="127">
        <v>17</v>
      </c>
      <c r="D1378" s="127" t="s">
        <v>92</v>
      </c>
      <c r="E1378" s="127">
        <v>2</v>
      </c>
      <c r="F1378" s="127">
        <v>3</v>
      </c>
      <c r="G1378" s="130" t="s">
        <v>85</v>
      </c>
    </row>
    <row r="1379" spans="2:7" x14ac:dyDescent="0.25">
      <c r="B1379" s="126" t="s">
        <v>75</v>
      </c>
      <c r="C1379" s="127">
        <v>17</v>
      </c>
      <c r="D1379" s="127" t="s">
        <v>86</v>
      </c>
      <c r="E1379" s="127">
        <v>1</v>
      </c>
      <c r="F1379" s="127">
        <v>1</v>
      </c>
      <c r="G1379" s="130" t="s">
        <v>90</v>
      </c>
    </row>
    <row r="1380" spans="2:7" x14ac:dyDescent="0.25">
      <c r="B1380" s="126" t="s">
        <v>75</v>
      </c>
      <c r="C1380" s="127">
        <v>18</v>
      </c>
      <c r="D1380" s="127" t="s">
        <v>86</v>
      </c>
      <c r="E1380" s="127">
        <v>1</v>
      </c>
      <c r="F1380" s="127">
        <v>3</v>
      </c>
      <c r="G1380" s="130" t="s">
        <v>79</v>
      </c>
    </row>
    <row r="1381" spans="2:7" x14ac:dyDescent="0.25">
      <c r="B1381" s="126" t="s">
        <v>75</v>
      </c>
      <c r="C1381" s="127">
        <v>18</v>
      </c>
      <c r="D1381" s="127" t="s">
        <v>83</v>
      </c>
      <c r="E1381" s="127">
        <v>0</v>
      </c>
      <c r="F1381" s="127">
        <v>1</v>
      </c>
      <c r="G1381" s="130" t="s">
        <v>82</v>
      </c>
    </row>
    <row r="1382" spans="2:7" x14ac:dyDescent="0.25">
      <c r="B1382" s="126" t="s">
        <v>75</v>
      </c>
      <c r="C1382" s="127">
        <v>18</v>
      </c>
      <c r="D1382" s="127" t="s">
        <v>172</v>
      </c>
      <c r="E1382" s="127">
        <v>0</v>
      </c>
      <c r="F1382" s="127">
        <v>1</v>
      </c>
      <c r="G1382" s="130" t="s">
        <v>87</v>
      </c>
    </row>
    <row r="1383" spans="2:7" x14ac:dyDescent="0.25">
      <c r="B1383" s="126" t="s">
        <v>75</v>
      </c>
      <c r="C1383" s="127">
        <v>18</v>
      </c>
      <c r="D1383" s="127" t="s">
        <v>84</v>
      </c>
      <c r="E1383" s="127">
        <v>3</v>
      </c>
      <c r="F1383" s="127">
        <v>1</v>
      </c>
      <c r="G1383" s="130" t="s">
        <v>91</v>
      </c>
    </row>
    <row r="1384" spans="2:7" x14ac:dyDescent="0.25">
      <c r="B1384" s="126" t="s">
        <v>75</v>
      </c>
      <c r="C1384" s="127">
        <v>18</v>
      </c>
      <c r="D1384" s="127" t="s">
        <v>94</v>
      </c>
      <c r="E1384" s="127">
        <v>2</v>
      </c>
      <c r="F1384" s="127">
        <v>3</v>
      </c>
      <c r="G1384" s="130" t="s">
        <v>90</v>
      </c>
    </row>
    <row r="1385" spans="2:7" x14ac:dyDescent="0.25">
      <c r="B1385" s="126" t="s">
        <v>75</v>
      </c>
      <c r="C1385" s="127">
        <v>18</v>
      </c>
      <c r="D1385" s="127" t="s">
        <v>92</v>
      </c>
      <c r="E1385" s="127">
        <v>1</v>
      </c>
      <c r="F1385" s="127">
        <v>2</v>
      </c>
      <c r="G1385" s="130" t="s">
        <v>89</v>
      </c>
    </row>
    <row r="1386" spans="2:7" x14ac:dyDescent="0.25">
      <c r="B1386" s="126" t="s">
        <v>75</v>
      </c>
      <c r="C1386" s="127">
        <v>18</v>
      </c>
      <c r="D1386" s="127" t="s">
        <v>81</v>
      </c>
      <c r="E1386" s="127">
        <v>0</v>
      </c>
      <c r="F1386" s="127">
        <v>1</v>
      </c>
      <c r="G1386" s="130" t="s">
        <v>80</v>
      </c>
    </row>
    <row r="1387" spans="2:7" x14ac:dyDescent="0.25">
      <c r="B1387" s="126" t="s">
        <v>75</v>
      </c>
      <c r="C1387" s="127">
        <v>18</v>
      </c>
      <c r="D1387" s="127" t="s">
        <v>174</v>
      </c>
      <c r="E1387" s="127">
        <v>1</v>
      </c>
      <c r="F1387" s="127">
        <v>3</v>
      </c>
      <c r="G1387" s="130" t="s">
        <v>88</v>
      </c>
    </row>
    <row r="1388" spans="2:7" x14ac:dyDescent="0.25">
      <c r="B1388" s="126" t="s">
        <v>75</v>
      </c>
      <c r="C1388" s="127">
        <v>18</v>
      </c>
      <c r="D1388" s="127" t="s">
        <v>93</v>
      </c>
      <c r="E1388" s="127">
        <v>2</v>
      </c>
      <c r="F1388" s="127">
        <v>1</v>
      </c>
      <c r="G1388" s="130" t="s">
        <v>85</v>
      </c>
    </row>
    <row r="1389" spans="2:7" x14ac:dyDescent="0.25">
      <c r="B1389" s="126" t="s">
        <v>75</v>
      </c>
      <c r="C1389" s="127">
        <v>19</v>
      </c>
      <c r="D1389" s="127" t="s">
        <v>88</v>
      </c>
      <c r="E1389" s="127">
        <v>2</v>
      </c>
      <c r="F1389" s="127">
        <v>2</v>
      </c>
      <c r="G1389" s="130" t="s">
        <v>93</v>
      </c>
    </row>
    <row r="1390" spans="2:7" x14ac:dyDescent="0.25">
      <c r="B1390" s="126" t="s">
        <v>75</v>
      </c>
      <c r="C1390" s="127">
        <v>19</v>
      </c>
      <c r="D1390" s="127" t="s">
        <v>91</v>
      </c>
      <c r="E1390" s="127">
        <v>2</v>
      </c>
      <c r="F1390" s="127">
        <v>4</v>
      </c>
      <c r="G1390" s="130" t="s">
        <v>86</v>
      </c>
    </row>
    <row r="1391" spans="2:7" x14ac:dyDescent="0.25">
      <c r="B1391" s="126" t="s">
        <v>75</v>
      </c>
      <c r="C1391" s="127">
        <v>19</v>
      </c>
      <c r="D1391" s="127" t="s">
        <v>85</v>
      </c>
      <c r="E1391" s="127">
        <v>0</v>
      </c>
      <c r="F1391" s="127">
        <v>3</v>
      </c>
      <c r="G1391" s="130" t="s">
        <v>83</v>
      </c>
    </row>
    <row r="1392" spans="2:7" x14ac:dyDescent="0.25">
      <c r="B1392" s="126" t="s">
        <v>75</v>
      </c>
      <c r="C1392" s="127">
        <v>19</v>
      </c>
      <c r="D1392" s="127" t="s">
        <v>82</v>
      </c>
      <c r="E1392" s="127">
        <v>2</v>
      </c>
      <c r="F1392" s="127">
        <v>0</v>
      </c>
      <c r="G1392" s="130" t="s">
        <v>92</v>
      </c>
    </row>
    <row r="1393" spans="2:7" x14ac:dyDescent="0.25">
      <c r="B1393" s="126" t="s">
        <v>75</v>
      </c>
      <c r="C1393" s="127">
        <v>19</v>
      </c>
      <c r="D1393" s="127" t="s">
        <v>80</v>
      </c>
      <c r="E1393" s="127">
        <v>5</v>
      </c>
      <c r="F1393" s="127">
        <v>1</v>
      </c>
      <c r="G1393" s="130" t="s">
        <v>172</v>
      </c>
    </row>
    <row r="1394" spans="2:7" x14ac:dyDescent="0.25">
      <c r="B1394" s="126" t="s">
        <v>75</v>
      </c>
      <c r="C1394" s="127">
        <v>19</v>
      </c>
      <c r="D1394" s="127" t="s">
        <v>90</v>
      </c>
      <c r="E1394" s="127">
        <v>2</v>
      </c>
      <c r="F1394" s="127">
        <v>1</v>
      </c>
      <c r="G1394" s="130" t="s">
        <v>174</v>
      </c>
    </row>
    <row r="1395" spans="2:7" x14ac:dyDescent="0.25">
      <c r="B1395" s="126" t="s">
        <v>75</v>
      </c>
      <c r="C1395" s="127">
        <v>19</v>
      </c>
      <c r="D1395" s="127" t="s">
        <v>87</v>
      </c>
      <c r="E1395" s="127">
        <v>2</v>
      </c>
      <c r="F1395" s="127">
        <v>2</v>
      </c>
      <c r="G1395" s="130" t="s">
        <v>84</v>
      </c>
    </row>
    <row r="1396" spans="2:7" x14ac:dyDescent="0.25">
      <c r="B1396" s="126" t="s">
        <v>75</v>
      </c>
      <c r="C1396" s="127">
        <v>19</v>
      </c>
      <c r="D1396" s="127" t="s">
        <v>79</v>
      </c>
      <c r="E1396" s="127">
        <v>4</v>
      </c>
      <c r="F1396" s="127">
        <v>1</v>
      </c>
      <c r="G1396" s="130" t="s">
        <v>94</v>
      </c>
    </row>
    <row r="1397" spans="2:7" x14ac:dyDescent="0.25">
      <c r="B1397" s="126" t="s">
        <v>75</v>
      </c>
      <c r="C1397" s="127">
        <v>19</v>
      </c>
      <c r="D1397" s="127" t="s">
        <v>89</v>
      </c>
      <c r="E1397" s="127">
        <v>0</v>
      </c>
      <c r="F1397" s="127">
        <v>4</v>
      </c>
      <c r="G1397" s="130" t="s">
        <v>81</v>
      </c>
    </row>
    <row r="1398" spans="2:7" x14ac:dyDescent="0.25">
      <c r="B1398" s="126" t="s">
        <v>75</v>
      </c>
      <c r="C1398" s="127">
        <v>20</v>
      </c>
      <c r="D1398" s="127" t="s">
        <v>172</v>
      </c>
      <c r="E1398" s="127">
        <v>0</v>
      </c>
      <c r="F1398" s="127">
        <v>3</v>
      </c>
      <c r="G1398" s="130" t="s">
        <v>81</v>
      </c>
    </row>
    <row r="1399" spans="2:7" x14ac:dyDescent="0.25">
      <c r="B1399" s="126" t="s">
        <v>75</v>
      </c>
      <c r="C1399" s="127">
        <v>20</v>
      </c>
      <c r="D1399" s="127" t="s">
        <v>84</v>
      </c>
      <c r="E1399" s="127">
        <v>1</v>
      </c>
      <c r="F1399" s="127">
        <v>1</v>
      </c>
      <c r="G1399" s="130" t="s">
        <v>80</v>
      </c>
    </row>
    <row r="1400" spans="2:7" x14ac:dyDescent="0.25">
      <c r="B1400" s="126" t="s">
        <v>75</v>
      </c>
      <c r="C1400" s="127">
        <v>20</v>
      </c>
      <c r="D1400" s="127" t="s">
        <v>174</v>
      </c>
      <c r="E1400" s="127">
        <v>1</v>
      </c>
      <c r="F1400" s="127">
        <v>1</v>
      </c>
      <c r="G1400" s="130" t="s">
        <v>87</v>
      </c>
    </row>
    <row r="1401" spans="2:7" x14ac:dyDescent="0.25">
      <c r="B1401" s="126" t="s">
        <v>75</v>
      </c>
      <c r="C1401" s="127">
        <v>20</v>
      </c>
      <c r="D1401" s="127" t="s">
        <v>88</v>
      </c>
      <c r="E1401" s="127">
        <v>0</v>
      </c>
      <c r="F1401" s="127">
        <v>1</v>
      </c>
      <c r="G1401" s="130" t="s">
        <v>85</v>
      </c>
    </row>
    <row r="1402" spans="2:7" x14ac:dyDescent="0.25">
      <c r="B1402" s="126" t="s">
        <v>75</v>
      </c>
      <c r="C1402" s="127">
        <v>20</v>
      </c>
      <c r="D1402" s="127" t="s">
        <v>86</v>
      </c>
      <c r="E1402" s="127">
        <v>1</v>
      </c>
      <c r="F1402" s="127">
        <v>1</v>
      </c>
      <c r="G1402" s="130" t="s">
        <v>89</v>
      </c>
    </row>
    <row r="1403" spans="2:7" x14ac:dyDescent="0.25">
      <c r="B1403" s="126" t="s">
        <v>75</v>
      </c>
      <c r="C1403" s="127">
        <v>20</v>
      </c>
      <c r="D1403" s="127" t="s">
        <v>83</v>
      </c>
      <c r="E1403" s="127">
        <v>3</v>
      </c>
      <c r="F1403" s="127">
        <v>1</v>
      </c>
      <c r="G1403" s="130" t="s">
        <v>79</v>
      </c>
    </row>
    <row r="1404" spans="2:7" x14ac:dyDescent="0.25">
      <c r="B1404" s="126" t="s">
        <v>75</v>
      </c>
      <c r="C1404" s="127">
        <v>20</v>
      </c>
      <c r="D1404" s="127" t="s">
        <v>93</v>
      </c>
      <c r="E1404" s="127">
        <v>0</v>
      </c>
      <c r="F1404" s="127">
        <v>2</v>
      </c>
      <c r="G1404" s="130" t="s">
        <v>82</v>
      </c>
    </row>
    <row r="1405" spans="2:7" x14ac:dyDescent="0.25">
      <c r="B1405" s="126" t="s">
        <v>75</v>
      </c>
      <c r="C1405" s="127">
        <v>20</v>
      </c>
      <c r="D1405" s="127" t="s">
        <v>92</v>
      </c>
      <c r="E1405" s="127">
        <v>3</v>
      </c>
      <c r="F1405" s="127">
        <v>0</v>
      </c>
      <c r="G1405" s="130" t="s">
        <v>90</v>
      </c>
    </row>
    <row r="1406" spans="2:7" x14ac:dyDescent="0.25">
      <c r="B1406" s="126" t="s">
        <v>75</v>
      </c>
      <c r="C1406" s="127">
        <v>20</v>
      </c>
      <c r="D1406" s="127" t="s">
        <v>94</v>
      </c>
      <c r="E1406" s="127">
        <v>2</v>
      </c>
      <c r="F1406" s="127">
        <v>2</v>
      </c>
      <c r="G1406" s="130" t="s">
        <v>91</v>
      </c>
    </row>
    <row r="1407" spans="2:7" x14ac:dyDescent="0.25">
      <c r="B1407" s="126" t="s">
        <v>75</v>
      </c>
      <c r="C1407" s="127">
        <v>21</v>
      </c>
      <c r="D1407" s="127" t="s">
        <v>90</v>
      </c>
      <c r="E1407" s="127">
        <v>1</v>
      </c>
      <c r="F1407" s="127">
        <v>5</v>
      </c>
      <c r="G1407" s="130" t="s">
        <v>83</v>
      </c>
    </row>
    <row r="1408" spans="2:7" x14ac:dyDescent="0.25">
      <c r="B1408" s="126" t="s">
        <v>75</v>
      </c>
      <c r="C1408" s="127">
        <v>21</v>
      </c>
      <c r="D1408" s="127" t="s">
        <v>80</v>
      </c>
      <c r="E1408" s="127">
        <v>3</v>
      </c>
      <c r="F1408" s="127">
        <v>3</v>
      </c>
      <c r="G1408" s="130" t="s">
        <v>86</v>
      </c>
    </row>
    <row r="1409" spans="2:7" x14ac:dyDescent="0.25">
      <c r="B1409" s="126" t="s">
        <v>75</v>
      </c>
      <c r="C1409" s="127">
        <v>21</v>
      </c>
      <c r="D1409" s="127" t="s">
        <v>81</v>
      </c>
      <c r="E1409" s="127">
        <v>0</v>
      </c>
      <c r="F1409" s="127">
        <v>0</v>
      </c>
      <c r="G1409" s="130" t="s">
        <v>84</v>
      </c>
    </row>
    <row r="1410" spans="2:7" x14ac:dyDescent="0.25">
      <c r="B1410" s="126" t="s">
        <v>75</v>
      </c>
      <c r="C1410" s="127">
        <v>21</v>
      </c>
      <c r="D1410" s="127" t="s">
        <v>82</v>
      </c>
      <c r="E1410" s="127">
        <v>0</v>
      </c>
      <c r="F1410" s="127">
        <v>3</v>
      </c>
      <c r="G1410" s="130" t="s">
        <v>88</v>
      </c>
    </row>
    <row r="1411" spans="2:7" x14ac:dyDescent="0.25">
      <c r="B1411" s="126" t="s">
        <v>75</v>
      </c>
      <c r="C1411" s="127">
        <v>21</v>
      </c>
      <c r="D1411" s="127" t="s">
        <v>91</v>
      </c>
      <c r="E1411" s="127">
        <v>3</v>
      </c>
      <c r="F1411" s="127">
        <v>3</v>
      </c>
      <c r="G1411" s="130" t="s">
        <v>85</v>
      </c>
    </row>
    <row r="1412" spans="2:7" x14ac:dyDescent="0.25">
      <c r="B1412" s="126" t="s">
        <v>75</v>
      </c>
      <c r="C1412" s="127">
        <v>21</v>
      </c>
      <c r="D1412" s="127" t="s">
        <v>172</v>
      </c>
      <c r="E1412" s="127">
        <v>2</v>
      </c>
      <c r="F1412" s="127">
        <v>0</v>
      </c>
      <c r="G1412" s="130" t="s">
        <v>174</v>
      </c>
    </row>
    <row r="1413" spans="2:7" x14ac:dyDescent="0.25">
      <c r="B1413" s="126" t="s">
        <v>75</v>
      </c>
      <c r="C1413" s="127">
        <v>21</v>
      </c>
      <c r="D1413" s="127" t="s">
        <v>79</v>
      </c>
      <c r="E1413" s="127">
        <v>3</v>
      </c>
      <c r="F1413" s="127">
        <v>1</v>
      </c>
      <c r="G1413" s="130" t="s">
        <v>93</v>
      </c>
    </row>
    <row r="1414" spans="2:7" x14ac:dyDescent="0.25">
      <c r="B1414" s="126" t="s">
        <v>75</v>
      </c>
      <c r="C1414" s="127">
        <v>21</v>
      </c>
      <c r="D1414" s="127" t="s">
        <v>87</v>
      </c>
      <c r="E1414" s="127">
        <v>4</v>
      </c>
      <c r="F1414" s="127">
        <v>0</v>
      </c>
      <c r="G1414" s="130" t="s">
        <v>92</v>
      </c>
    </row>
    <row r="1415" spans="2:7" x14ac:dyDescent="0.25">
      <c r="B1415" s="126" t="s">
        <v>75</v>
      </c>
      <c r="C1415" s="127">
        <v>21</v>
      </c>
      <c r="D1415" s="127" t="s">
        <v>89</v>
      </c>
      <c r="E1415" s="127">
        <v>3</v>
      </c>
      <c r="F1415" s="127">
        <v>0</v>
      </c>
      <c r="G1415" s="130" t="s">
        <v>94</v>
      </c>
    </row>
    <row r="1416" spans="2:7" x14ac:dyDescent="0.25">
      <c r="B1416" s="126" t="s">
        <v>75</v>
      </c>
      <c r="C1416" s="127">
        <v>22</v>
      </c>
      <c r="D1416" s="127" t="s">
        <v>92</v>
      </c>
      <c r="E1416" s="127">
        <v>2</v>
      </c>
      <c r="F1416" s="127">
        <v>3</v>
      </c>
      <c r="G1416" s="130" t="s">
        <v>79</v>
      </c>
    </row>
    <row r="1417" spans="2:7" x14ac:dyDescent="0.25">
      <c r="B1417" s="126" t="s">
        <v>75</v>
      </c>
      <c r="C1417" s="127">
        <v>22</v>
      </c>
      <c r="D1417" s="127" t="s">
        <v>94</v>
      </c>
      <c r="E1417" s="127">
        <v>1</v>
      </c>
      <c r="F1417" s="127">
        <v>3</v>
      </c>
      <c r="G1417" s="130" t="s">
        <v>81</v>
      </c>
    </row>
    <row r="1418" spans="2:7" x14ac:dyDescent="0.25">
      <c r="B1418" s="126" t="s">
        <v>75</v>
      </c>
      <c r="C1418" s="127">
        <v>22</v>
      </c>
      <c r="D1418" s="127" t="s">
        <v>86</v>
      </c>
      <c r="E1418" s="127">
        <v>3</v>
      </c>
      <c r="F1418" s="127">
        <v>0</v>
      </c>
      <c r="G1418" s="130" t="s">
        <v>172</v>
      </c>
    </row>
    <row r="1419" spans="2:7" x14ac:dyDescent="0.25">
      <c r="B1419" s="126" t="s">
        <v>75</v>
      </c>
      <c r="C1419" s="127">
        <v>22</v>
      </c>
      <c r="D1419" s="127" t="s">
        <v>93</v>
      </c>
      <c r="E1419" s="127">
        <v>0</v>
      </c>
      <c r="F1419" s="127">
        <v>0</v>
      </c>
      <c r="G1419" s="130" t="s">
        <v>91</v>
      </c>
    </row>
    <row r="1420" spans="2:7" x14ac:dyDescent="0.25">
      <c r="B1420" s="126" t="s">
        <v>75</v>
      </c>
      <c r="C1420" s="127">
        <v>22</v>
      </c>
      <c r="D1420" s="127" t="s">
        <v>85</v>
      </c>
      <c r="E1420" s="127">
        <v>3</v>
      </c>
      <c r="F1420" s="127">
        <v>0</v>
      </c>
      <c r="G1420" s="130" t="s">
        <v>90</v>
      </c>
    </row>
    <row r="1421" spans="2:7" x14ac:dyDescent="0.25">
      <c r="B1421" s="126" t="s">
        <v>75</v>
      </c>
      <c r="C1421" s="127">
        <v>22</v>
      </c>
      <c r="D1421" s="127" t="s">
        <v>88</v>
      </c>
      <c r="E1421" s="127">
        <v>1</v>
      </c>
      <c r="F1421" s="127">
        <v>1</v>
      </c>
      <c r="G1421" s="130" t="s">
        <v>87</v>
      </c>
    </row>
    <row r="1422" spans="2:7" x14ac:dyDescent="0.25">
      <c r="B1422" s="126" t="s">
        <v>75</v>
      </c>
      <c r="C1422" s="127">
        <v>22</v>
      </c>
      <c r="D1422" s="127" t="s">
        <v>84</v>
      </c>
      <c r="E1422" s="127">
        <v>1</v>
      </c>
      <c r="F1422" s="127">
        <v>1</v>
      </c>
      <c r="G1422" s="130" t="s">
        <v>82</v>
      </c>
    </row>
    <row r="1423" spans="2:7" x14ac:dyDescent="0.25">
      <c r="B1423" s="126" t="s">
        <v>75</v>
      </c>
      <c r="C1423" s="127">
        <v>22</v>
      </c>
      <c r="D1423" s="127" t="s">
        <v>83</v>
      </c>
      <c r="E1423" s="127">
        <v>2</v>
      </c>
      <c r="F1423" s="127">
        <v>0</v>
      </c>
      <c r="G1423" s="130" t="s">
        <v>89</v>
      </c>
    </row>
    <row r="1424" spans="2:7" x14ac:dyDescent="0.25">
      <c r="B1424" s="126" t="s">
        <v>75</v>
      </c>
      <c r="C1424" s="127">
        <v>22</v>
      </c>
      <c r="D1424" s="127" t="s">
        <v>174</v>
      </c>
      <c r="E1424" s="127">
        <v>0</v>
      </c>
      <c r="F1424" s="127">
        <v>0</v>
      </c>
      <c r="G1424" s="130" t="s">
        <v>80</v>
      </c>
    </row>
    <row r="1425" spans="2:7" x14ac:dyDescent="0.25">
      <c r="B1425" s="126" t="s">
        <v>75</v>
      </c>
      <c r="C1425" s="127">
        <v>23</v>
      </c>
      <c r="D1425" s="127" t="s">
        <v>87</v>
      </c>
      <c r="E1425" s="127">
        <v>1</v>
      </c>
      <c r="F1425" s="127">
        <v>1</v>
      </c>
      <c r="G1425" s="130" t="s">
        <v>94</v>
      </c>
    </row>
    <row r="1426" spans="2:7" x14ac:dyDescent="0.25">
      <c r="B1426" s="126" t="s">
        <v>75</v>
      </c>
      <c r="C1426" s="127">
        <v>23</v>
      </c>
      <c r="D1426" s="127" t="s">
        <v>90</v>
      </c>
      <c r="E1426" s="127">
        <v>3</v>
      </c>
      <c r="F1426" s="127">
        <v>0</v>
      </c>
      <c r="G1426" s="130" t="s">
        <v>93</v>
      </c>
    </row>
    <row r="1427" spans="2:7" x14ac:dyDescent="0.25">
      <c r="B1427" s="126" t="s">
        <v>75</v>
      </c>
      <c r="C1427" s="127">
        <v>23</v>
      </c>
      <c r="D1427" s="127" t="s">
        <v>79</v>
      </c>
      <c r="E1427" s="127">
        <v>1</v>
      </c>
      <c r="F1427" s="127">
        <v>0</v>
      </c>
      <c r="G1427" s="130" t="s">
        <v>88</v>
      </c>
    </row>
    <row r="1428" spans="2:7" x14ac:dyDescent="0.25">
      <c r="B1428" s="126" t="s">
        <v>75</v>
      </c>
      <c r="C1428" s="127">
        <v>23</v>
      </c>
      <c r="D1428" s="127" t="s">
        <v>91</v>
      </c>
      <c r="E1428" s="127">
        <v>5</v>
      </c>
      <c r="F1428" s="127">
        <v>1</v>
      </c>
      <c r="G1428" s="130" t="s">
        <v>92</v>
      </c>
    </row>
    <row r="1429" spans="2:7" x14ac:dyDescent="0.25">
      <c r="B1429" s="126" t="s">
        <v>75</v>
      </c>
      <c r="C1429" s="127">
        <v>23</v>
      </c>
      <c r="D1429" s="127" t="s">
        <v>82</v>
      </c>
      <c r="E1429" s="127">
        <v>0</v>
      </c>
      <c r="F1429" s="127">
        <v>3</v>
      </c>
      <c r="G1429" s="130" t="s">
        <v>85</v>
      </c>
    </row>
    <row r="1430" spans="2:7" x14ac:dyDescent="0.25">
      <c r="B1430" s="126" t="s">
        <v>75</v>
      </c>
      <c r="C1430" s="127">
        <v>23</v>
      </c>
      <c r="D1430" s="127" t="s">
        <v>89</v>
      </c>
      <c r="E1430" s="127">
        <v>2</v>
      </c>
      <c r="F1430" s="127">
        <v>1</v>
      </c>
      <c r="G1430" s="130" t="s">
        <v>174</v>
      </c>
    </row>
    <row r="1431" spans="2:7" x14ac:dyDescent="0.25">
      <c r="B1431" s="126" t="s">
        <v>75</v>
      </c>
      <c r="C1431" s="127">
        <v>23</v>
      </c>
      <c r="D1431" s="127" t="s">
        <v>172</v>
      </c>
      <c r="E1431" s="127">
        <v>0</v>
      </c>
      <c r="F1431" s="127">
        <v>3</v>
      </c>
      <c r="G1431" s="130" t="s">
        <v>84</v>
      </c>
    </row>
    <row r="1432" spans="2:7" x14ac:dyDescent="0.25">
      <c r="B1432" s="126" t="s">
        <v>75</v>
      </c>
      <c r="C1432" s="127">
        <v>23</v>
      </c>
      <c r="D1432" s="127" t="s">
        <v>80</v>
      </c>
      <c r="E1432" s="127">
        <v>3</v>
      </c>
      <c r="F1432" s="127">
        <v>2</v>
      </c>
      <c r="G1432" s="130" t="s">
        <v>83</v>
      </c>
    </row>
    <row r="1433" spans="2:7" x14ac:dyDescent="0.25">
      <c r="B1433" s="126" t="s">
        <v>75</v>
      </c>
      <c r="C1433" s="127">
        <v>23</v>
      </c>
      <c r="D1433" s="127" t="s">
        <v>81</v>
      </c>
      <c r="E1433" s="127">
        <v>1</v>
      </c>
      <c r="F1433" s="127">
        <v>1</v>
      </c>
      <c r="G1433" s="130" t="s">
        <v>86</v>
      </c>
    </row>
    <row r="1434" spans="2:7" x14ac:dyDescent="0.25">
      <c r="B1434" s="126" t="s">
        <v>75</v>
      </c>
      <c r="C1434" s="127">
        <v>24</v>
      </c>
      <c r="D1434" s="127" t="s">
        <v>92</v>
      </c>
      <c r="E1434" s="127">
        <v>2</v>
      </c>
      <c r="F1434" s="127">
        <v>1</v>
      </c>
      <c r="G1434" s="130" t="s">
        <v>80</v>
      </c>
    </row>
    <row r="1435" spans="2:7" x14ac:dyDescent="0.25">
      <c r="B1435" s="126" t="s">
        <v>75</v>
      </c>
      <c r="C1435" s="127">
        <v>24</v>
      </c>
      <c r="D1435" s="127" t="s">
        <v>84</v>
      </c>
      <c r="E1435" s="127">
        <v>3</v>
      </c>
      <c r="F1435" s="127">
        <v>2</v>
      </c>
      <c r="G1435" s="130" t="s">
        <v>86</v>
      </c>
    </row>
    <row r="1436" spans="2:7" x14ac:dyDescent="0.25">
      <c r="B1436" s="126" t="s">
        <v>75</v>
      </c>
      <c r="C1436" s="127">
        <v>24</v>
      </c>
      <c r="D1436" s="127" t="s">
        <v>174</v>
      </c>
      <c r="E1436" s="127">
        <v>0</v>
      </c>
      <c r="F1436" s="127">
        <v>1</v>
      </c>
      <c r="G1436" s="130" t="s">
        <v>81</v>
      </c>
    </row>
    <row r="1437" spans="2:7" x14ac:dyDescent="0.25">
      <c r="B1437" s="126" t="s">
        <v>75</v>
      </c>
      <c r="C1437" s="127">
        <v>24</v>
      </c>
      <c r="D1437" s="127" t="s">
        <v>83</v>
      </c>
      <c r="E1437" s="127">
        <v>2</v>
      </c>
      <c r="F1437" s="127">
        <v>0</v>
      </c>
      <c r="G1437" s="130" t="s">
        <v>91</v>
      </c>
    </row>
    <row r="1438" spans="2:7" x14ac:dyDescent="0.25">
      <c r="B1438" s="126" t="s">
        <v>75</v>
      </c>
      <c r="C1438" s="127">
        <v>24</v>
      </c>
      <c r="D1438" s="127" t="s">
        <v>88</v>
      </c>
      <c r="E1438" s="127">
        <v>2</v>
      </c>
      <c r="F1438" s="127">
        <v>1</v>
      </c>
      <c r="G1438" s="130" t="s">
        <v>90</v>
      </c>
    </row>
    <row r="1439" spans="2:7" x14ac:dyDescent="0.25">
      <c r="B1439" s="126" t="s">
        <v>75</v>
      </c>
      <c r="C1439" s="127">
        <v>24</v>
      </c>
      <c r="D1439" s="127" t="s">
        <v>93</v>
      </c>
      <c r="E1439" s="127">
        <v>0</v>
      </c>
      <c r="F1439" s="127">
        <v>4</v>
      </c>
      <c r="G1439" s="130" t="s">
        <v>89</v>
      </c>
    </row>
    <row r="1440" spans="2:7" x14ac:dyDescent="0.25">
      <c r="B1440" s="126" t="s">
        <v>75</v>
      </c>
      <c r="C1440" s="127">
        <v>24</v>
      </c>
      <c r="D1440" s="127" t="s">
        <v>82</v>
      </c>
      <c r="E1440" s="127">
        <v>1</v>
      </c>
      <c r="F1440" s="127">
        <v>5</v>
      </c>
      <c r="G1440" s="130" t="s">
        <v>79</v>
      </c>
    </row>
    <row r="1441" spans="2:7" x14ac:dyDescent="0.25">
      <c r="B1441" s="126" t="s">
        <v>75</v>
      </c>
      <c r="C1441" s="127">
        <v>24</v>
      </c>
      <c r="D1441" s="127" t="s">
        <v>94</v>
      </c>
      <c r="E1441" s="127">
        <v>5</v>
      </c>
      <c r="F1441" s="127">
        <v>1</v>
      </c>
      <c r="G1441" s="130" t="s">
        <v>172</v>
      </c>
    </row>
    <row r="1442" spans="2:7" x14ac:dyDescent="0.25">
      <c r="B1442" s="126" t="s">
        <v>75</v>
      </c>
      <c r="C1442" s="127">
        <v>24</v>
      </c>
      <c r="D1442" s="127" t="s">
        <v>85</v>
      </c>
      <c r="E1442" s="127">
        <v>1</v>
      </c>
      <c r="F1442" s="127">
        <v>1</v>
      </c>
      <c r="G1442" s="130" t="s">
        <v>87</v>
      </c>
    </row>
    <row r="1443" spans="2:7" x14ac:dyDescent="0.25">
      <c r="B1443" s="126" t="s">
        <v>75</v>
      </c>
      <c r="C1443" s="127">
        <v>25</v>
      </c>
      <c r="D1443" s="127" t="s">
        <v>87</v>
      </c>
      <c r="E1443" s="127">
        <v>4</v>
      </c>
      <c r="F1443" s="127">
        <v>2</v>
      </c>
      <c r="G1443" s="130" t="s">
        <v>93</v>
      </c>
    </row>
    <row r="1444" spans="2:7" x14ac:dyDescent="0.25">
      <c r="B1444" s="126" t="s">
        <v>75</v>
      </c>
      <c r="C1444" s="127">
        <v>25</v>
      </c>
      <c r="D1444" s="127" t="s">
        <v>80</v>
      </c>
      <c r="E1444" s="127">
        <v>3</v>
      </c>
      <c r="F1444" s="127">
        <v>1</v>
      </c>
      <c r="G1444" s="130" t="s">
        <v>94</v>
      </c>
    </row>
    <row r="1445" spans="2:7" x14ac:dyDescent="0.25">
      <c r="B1445" s="126" t="s">
        <v>75</v>
      </c>
      <c r="C1445" s="127">
        <v>25</v>
      </c>
      <c r="D1445" s="127" t="s">
        <v>91</v>
      </c>
      <c r="E1445" s="127">
        <v>2</v>
      </c>
      <c r="F1445" s="127">
        <v>1</v>
      </c>
      <c r="G1445" s="130" t="s">
        <v>88</v>
      </c>
    </row>
    <row r="1446" spans="2:7" x14ac:dyDescent="0.25">
      <c r="B1446" s="126" t="s">
        <v>75</v>
      </c>
      <c r="C1446" s="127">
        <v>25</v>
      </c>
      <c r="D1446" s="127" t="s">
        <v>81</v>
      </c>
      <c r="E1446" s="127">
        <v>0</v>
      </c>
      <c r="F1446" s="127">
        <v>0</v>
      </c>
      <c r="G1446" s="130" t="s">
        <v>92</v>
      </c>
    </row>
    <row r="1447" spans="2:7" x14ac:dyDescent="0.25">
      <c r="B1447" s="126" t="s">
        <v>75</v>
      </c>
      <c r="C1447" s="127">
        <v>25</v>
      </c>
      <c r="D1447" s="127" t="s">
        <v>79</v>
      </c>
      <c r="E1447" s="127">
        <v>6</v>
      </c>
      <c r="F1447" s="127">
        <v>0</v>
      </c>
      <c r="G1447" s="130" t="s">
        <v>85</v>
      </c>
    </row>
    <row r="1448" spans="2:7" x14ac:dyDescent="0.25">
      <c r="B1448" s="126" t="s">
        <v>75</v>
      </c>
      <c r="C1448" s="127">
        <v>25</v>
      </c>
      <c r="D1448" s="127" t="s">
        <v>90</v>
      </c>
      <c r="E1448" s="127">
        <v>0</v>
      </c>
      <c r="F1448" s="127">
        <v>1</v>
      </c>
      <c r="G1448" s="130" t="s">
        <v>82</v>
      </c>
    </row>
    <row r="1449" spans="2:7" x14ac:dyDescent="0.25">
      <c r="B1449" s="126" t="s">
        <v>75</v>
      </c>
      <c r="C1449" s="127">
        <v>25</v>
      </c>
      <c r="D1449" s="127" t="s">
        <v>86</v>
      </c>
      <c r="E1449" s="127">
        <v>2</v>
      </c>
      <c r="F1449" s="127">
        <v>1</v>
      </c>
      <c r="G1449" s="130" t="s">
        <v>174</v>
      </c>
    </row>
    <row r="1450" spans="2:7" x14ac:dyDescent="0.25">
      <c r="B1450" s="126" t="s">
        <v>75</v>
      </c>
      <c r="C1450" s="127">
        <v>25</v>
      </c>
      <c r="D1450" s="127" t="s">
        <v>172</v>
      </c>
      <c r="E1450" s="127">
        <v>2</v>
      </c>
      <c r="F1450" s="127">
        <v>3</v>
      </c>
      <c r="G1450" s="130" t="s">
        <v>83</v>
      </c>
    </row>
    <row r="1451" spans="2:7" x14ac:dyDescent="0.25">
      <c r="B1451" s="126" t="s">
        <v>75</v>
      </c>
      <c r="C1451" s="127">
        <v>25</v>
      </c>
      <c r="D1451" s="127" t="s">
        <v>89</v>
      </c>
      <c r="E1451" s="127">
        <v>0</v>
      </c>
      <c r="F1451" s="127">
        <v>3</v>
      </c>
      <c r="G1451" s="130" t="s">
        <v>84</v>
      </c>
    </row>
    <row r="1452" spans="2:7" x14ac:dyDescent="0.25">
      <c r="B1452" s="126" t="s">
        <v>75</v>
      </c>
      <c r="C1452" s="127">
        <v>26</v>
      </c>
      <c r="D1452" s="127" t="s">
        <v>82</v>
      </c>
      <c r="E1452" s="127">
        <v>1</v>
      </c>
      <c r="F1452" s="127">
        <v>1</v>
      </c>
      <c r="G1452" s="130" t="s">
        <v>91</v>
      </c>
    </row>
    <row r="1453" spans="2:7" x14ac:dyDescent="0.25">
      <c r="B1453" s="126" t="s">
        <v>75</v>
      </c>
      <c r="C1453" s="127">
        <v>26</v>
      </c>
      <c r="D1453" s="127" t="s">
        <v>94</v>
      </c>
      <c r="E1453" s="127">
        <v>1</v>
      </c>
      <c r="F1453" s="127">
        <v>1</v>
      </c>
      <c r="G1453" s="130" t="s">
        <v>86</v>
      </c>
    </row>
    <row r="1454" spans="2:7" x14ac:dyDescent="0.25">
      <c r="B1454" s="126" t="s">
        <v>75</v>
      </c>
      <c r="C1454" s="127">
        <v>26</v>
      </c>
      <c r="D1454" s="127" t="s">
        <v>93</v>
      </c>
      <c r="E1454" s="127">
        <v>0</v>
      </c>
      <c r="F1454" s="127">
        <v>1</v>
      </c>
      <c r="G1454" s="130" t="s">
        <v>81</v>
      </c>
    </row>
    <row r="1455" spans="2:7" x14ac:dyDescent="0.25">
      <c r="B1455" s="126" t="s">
        <v>75</v>
      </c>
      <c r="C1455" s="127">
        <v>26</v>
      </c>
      <c r="D1455" s="127" t="s">
        <v>92</v>
      </c>
      <c r="E1455" s="127">
        <v>3</v>
      </c>
      <c r="F1455" s="127">
        <v>1</v>
      </c>
      <c r="G1455" s="130" t="s">
        <v>172</v>
      </c>
    </row>
    <row r="1456" spans="2:7" x14ac:dyDescent="0.25">
      <c r="B1456" s="126" t="s">
        <v>75</v>
      </c>
      <c r="C1456" s="127">
        <v>26</v>
      </c>
      <c r="D1456" s="127" t="s">
        <v>85</v>
      </c>
      <c r="E1456" s="127">
        <v>5</v>
      </c>
      <c r="F1456" s="127">
        <v>2</v>
      </c>
      <c r="G1456" s="130" t="s">
        <v>89</v>
      </c>
    </row>
    <row r="1457" spans="2:7" x14ac:dyDescent="0.25">
      <c r="B1457" s="126" t="s">
        <v>75</v>
      </c>
      <c r="C1457" s="127">
        <v>26</v>
      </c>
      <c r="D1457" s="127" t="s">
        <v>88</v>
      </c>
      <c r="E1457" s="127">
        <v>2</v>
      </c>
      <c r="F1457" s="127">
        <v>3</v>
      </c>
      <c r="G1457" s="130" t="s">
        <v>80</v>
      </c>
    </row>
    <row r="1458" spans="2:7" x14ac:dyDescent="0.25">
      <c r="B1458" s="126" t="s">
        <v>75</v>
      </c>
      <c r="C1458" s="127">
        <v>26</v>
      </c>
      <c r="D1458" s="127" t="s">
        <v>83</v>
      </c>
      <c r="E1458" s="127">
        <v>1</v>
      </c>
      <c r="F1458" s="127">
        <v>3</v>
      </c>
      <c r="G1458" s="130" t="s">
        <v>87</v>
      </c>
    </row>
    <row r="1459" spans="2:7" x14ac:dyDescent="0.25">
      <c r="B1459" s="126" t="s">
        <v>75</v>
      </c>
      <c r="C1459" s="127">
        <v>26</v>
      </c>
      <c r="D1459" s="127" t="s">
        <v>84</v>
      </c>
      <c r="E1459" s="127">
        <v>1</v>
      </c>
      <c r="F1459" s="127">
        <v>0</v>
      </c>
      <c r="G1459" s="130" t="s">
        <v>174</v>
      </c>
    </row>
    <row r="1460" spans="2:7" x14ac:dyDescent="0.25">
      <c r="B1460" s="126" t="s">
        <v>75</v>
      </c>
      <c r="C1460" s="127">
        <v>26</v>
      </c>
      <c r="D1460" s="127" t="s">
        <v>79</v>
      </c>
      <c r="E1460" s="127">
        <v>6</v>
      </c>
      <c r="F1460" s="127">
        <v>0</v>
      </c>
      <c r="G1460" s="130" t="s">
        <v>90</v>
      </c>
    </row>
    <row r="1461" spans="2:7" x14ac:dyDescent="0.25">
      <c r="B1461" s="126" t="s">
        <v>75</v>
      </c>
      <c r="C1461" s="127">
        <v>27</v>
      </c>
      <c r="D1461" s="127" t="s">
        <v>86</v>
      </c>
      <c r="E1461" s="127">
        <v>4</v>
      </c>
      <c r="F1461" s="127">
        <v>1</v>
      </c>
      <c r="G1461" s="130" t="s">
        <v>83</v>
      </c>
    </row>
    <row r="1462" spans="2:7" x14ac:dyDescent="0.25">
      <c r="B1462" s="126" t="s">
        <v>75</v>
      </c>
      <c r="C1462" s="127">
        <v>27</v>
      </c>
      <c r="D1462" s="127" t="s">
        <v>91</v>
      </c>
      <c r="E1462" s="127">
        <v>1</v>
      </c>
      <c r="F1462" s="127">
        <v>1</v>
      </c>
      <c r="G1462" s="130" t="s">
        <v>79</v>
      </c>
    </row>
    <row r="1463" spans="2:7" x14ac:dyDescent="0.25">
      <c r="B1463" s="126" t="s">
        <v>75</v>
      </c>
      <c r="C1463" s="127">
        <v>27</v>
      </c>
      <c r="D1463" s="127" t="s">
        <v>89</v>
      </c>
      <c r="E1463" s="127">
        <v>3</v>
      </c>
      <c r="F1463" s="127">
        <v>1</v>
      </c>
      <c r="G1463" s="130" t="s">
        <v>82</v>
      </c>
    </row>
    <row r="1464" spans="2:7" x14ac:dyDescent="0.25">
      <c r="B1464" s="126" t="s">
        <v>75</v>
      </c>
      <c r="C1464" s="127">
        <v>27</v>
      </c>
      <c r="D1464" s="127" t="s">
        <v>174</v>
      </c>
      <c r="E1464" s="127">
        <v>3</v>
      </c>
      <c r="F1464" s="127">
        <v>0</v>
      </c>
      <c r="G1464" s="130" t="s">
        <v>92</v>
      </c>
    </row>
    <row r="1465" spans="2:7" x14ac:dyDescent="0.25">
      <c r="B1465" s="126" t="s">
        <v>75</v>
      </c>
      <c r="C1465" s="127">
        <v>27</v>
      </c>
      <c r="D1465" s="127" t="s">
        <v>87</v>
      </c>
      <c r="E1465" s="127">
        <v>3</v>
      </c>
      <c r="F1465" s="127">
        <v>1</v>
      </c>
      <c r="G1465" s="130" t="s">
        <v>90</v>
      </c>
    </row>
    <row r="1466" spans="2:7" x14ac:dyDescent="0.25">
      <c r="B1466" s="126" t="s">
        <v>75</v>
      </c>
      <c r="C1466" s="127">
        <v>27</v>
      </c>
      <c r="D1466" s="127" t="s">
        <v>80</v>
      </c>
      <c r="E1466" s="127">
        <v>2</v>
      </c>
      <c r="F1466" s="127">
        <v>0</v>
      </c>
      <c r="G1466" s="130" t="s">
        <v>85</v>
      </c>
    </row>
    <row r="1467" spans="2:7" x14ac:dyDescent="0.25">
      <c r="B1467" s="126" t="s">
        <v>75</v>
      </c>
      <c r="C1467" s="127">
        <v>27</v>
      </c>
      <c r="D1467" s="127" t="s">
        <v>81</v>
      </c>
      <c r="E1467" s="127">
        <v>5</v>
      </c>
      <c r="F1467" s="127">
        <v>0</v>
      </c>
      <c r="G1467" s="130" t="s">
        <v>88</v>
      </c>
    </row>
    <row r="1468" spans="2:7" x14ac:dyDescent="0.25">
      <c r="B1468" s="126" t="s">
        <v>75</v>
      </c>
      <c r="C1468" s="127">
        <v>27</v>
      </c>
      <c r="D1468" s="127" t="s">
        <v>172</v>
      </c>
      <c r="E1468" s="127">
        <v>0</v>
      </c>
      <c r="F1468" s="127">
        <v>1</v>
      </c>
      <c r="G1468" s="130" t="s">
        <v>93</v>
      </c>
    </row>
    <row r="1469" spans="2:7" x14ac:dyDescent="0.25">
      <c r="B1469" s="126" t="s">
        <v>75</v>
      </c>
      <c r="C1469" s="127">
        <v>27</v>
      </c>
      <c r="D1469" s="127" t="s">
        <v>84</v>
      </c>
      <c r="E1469" s="127">
        <v>3</v>
      </c>
      <c r="F1469" s="127">
        <v>0</v>
      </c>
      <c r="G1469" s="130" t="s">
        <v>94</v>
      </c>
    </row>
    <row r="1470" spans="2:7" x14ac:dyDescent="0.25">
      <c r="B1470" s="126" t="s">
        <v>75</v>
      </c>
      <c r="C1470" s="127">
        <v>28</v>
      </c>
      <c r="D1470" s="127" t="s">
        <v>90</v>
      </c>
      <c r="E1470" s="127">
        <v>5</v>
      </c>
      <c r="F1470" s="127">
        <v>0</v>
      </c>
      <c r="G1470" s="130" t="s">
        <v>91</v>
      </c>
    </row>
    <row r="1471" spans="2:7" x14ac:dyDescent="0.25">
      <c r="B1471" s="126" t="s">
        <v>75</v>
      </c>
      <c r="C1471" s="127">
        <v>28</v>
      </c>
      <c r="D1471" s="127" t="s">
        <v>83</v>
      </c>
      <c r="E1471" s="127">
        <v>2</v>
      </c>
      <c r="F1471" s="127">
        <v>4</v>
      </c>
      <c r="G1471" s="130" t="s">
        <v>81</v>
      </c>
    </row>
    <row r="1472" spans="2:7" x14ac:dyDescent="0.25">
      <c r="B1472" s="126" t="s">
        <v>75</v>
      </c>
      <c r="C1472" s="127">
        <v>28</v>
      </c>
      <c r="D1472" s="127" t="s">
        <v>93</v>
      </c>
      <c r="E1472" s="127">
        <v>1</v>
      </c>
      <c r="F1472" s="127">
        <v>2</v>
      </c>
      <c r="G1472" s="130" t="s">
        <v>84</v>
      </c>
    </row>
    <row r="1473" spans="2:7" x14ac:dyDescent="0.25">
      <c r="B1473" s="126" t="s">
        <v>75</v>
      </c>
      <c r="C1473" s="127">
        <v>28</v>
      </c>
      <c r="D1473" s="127" t="s">
        <v>85</v>
      </c>
      <c r="E1473" s="127">
        <v>3</v>
      </c>
      <c r="F1473" s="127">
        <v>1</v>
      </c>
      <c r="G1473" s="130" t="s">
        <v>172</v>
      </c>
    </row>
    <row r="1474" spans="2:7" x14ac:dyDescent="0.25">
      <c r="B1474" s="126" t="s">
        <v>75</v>
      </c>
      <c r="C1474" s="127">
        <v>28</v>
      </c>
      <c r="D1474" s="127" t="s">
        <v>88</v>
      </c>
      <c r="E1474" s="127">
        <v>1</v>
      </c>
      <c r="F1474" s="127">
        <v>2</v>
      </c>
      <c r="G1474" s="130" t="s">
        <v>89</v>
      </c>
    </row>
    <row r="1475" spans="2:7" x14ac:dyDescent="0.25">
      <c r="B1475" s="126" t="s">
        <v>75</v>
      </c>
      <c r="C1475" s="127">
        <v>28</v>
      </c>
      <c r="D1475" s="127" t="s">
        <v>94</v>
      </c>
      <c r="E1475" s="127">
        <v>1</v>
      </c>
      <c r="F1475" s="127">
        <v>1</v>
      </c>
      <c r="G1475" s="130" t="s">
        <v>174</v>
      </c>
    </row>
    <row r="1476" spans="2:7" x14ac:dyDescent="0.25">
      <c r="B1476" s="126" t="s">
        <v>75</v>
      </c>
      <c r="C1476" s="127">
        <v>28</v>
      </c>
      <c r="D1476" s="127" t="s">
        <v>79</v>
      </c>
      <c r="E1476" s="127">
        <v>5</v>
      </c>
      <c r="F1476" s="127">
        <v>0</v>
      </c>
      <c r="G1476" s="130" t="s">
        <v>80</v>
      </c>
    </row>
    <row r="1477" spans="2:7" x14ac:dyDescent="0.25">
      <c r="B1477" s="126" t="s">
        <v>75</v>
      </c>
      <c r="C1477" s="127">
        <v>28</v>
      </c>
      <c r="D1477" s="127" t="s">
        <v>92</v>
      </c>
      <c r="E1477" s="127">
        <v>0</v>
      </c>
      <c r="F1477" s="127">
        <v>4</v>
      </c>
      <c r="G1477" s="130" t="s">
        <v>86</v>
      </c>
    </row>
    <row r="1478" spans="2:7" x14ac:dyDescent="0.25">
      <c r="B1478" s="126" t="s">
        <v>75</v>
      </c>
      <c r="C1478" s="127">
        <v>28</v>
      </c>
      <c r="D1478" s="127" t="s">
        <v>82</v>
      </c>
      <c r="E1478" s="127">
        <v>1</v>
      </c>
      <c r="F1478" s="127">
        <v>1</v>
      </c>
      <c r="G1478" s="130" t="s">
        <v>87</v>
      </c>
    </row>
    <row r="1479" spans="2:7" x14ac:dyDescent="0.25">
      <c r="B1479" s="126" t="s">
        <v>75</v>
      </c>
      <c r="C1479" s="127">
        <v>29</v>
      </c>
      <c r="D1479" s="127" t="s">
        <v>174</v>
      </c>
      <c r="E1479" s="127">
        <v>1</v>
      </c>
      <c r="F1479" s="127">
        <v>1</v>
      </c>
      <c r="G1479" s="130" t="s">
        <v>93</v>
      </c>
    </row>
    <row r="1480" spans="2:7" x14ac:dyDescent="0.25">
      <c r="B1480" s="126" t="s">
        <v>75</v>
      </c>
      <c r="C1480" s="127">
        <v>29</v>
      </c>
      <c r="D1480" s="127" t="s">
        <v>94</v>
      </c>
      <c r="E1480" s="127">
        <v>0</v>
      </c>
      <c r="F1480" s="127">
        <v>1</v>
      </c>
      <c r="G1480" s="130" t="s">
        <v>83</v>
      </c>
    </row>
    <row r="1481" spans="2:7" x14ac:dyDescent="0.25">
      <c r="B1481" s="126" t="s">
        <v>75</v>
      </c>
      <c r="C1481" s="127">
        <v>29</v>
      </c>
      <c r="D1481" s="127" t="s">
        <v>172</v>
      </c>
      <c r="E1481" s="127">
        <v>0</v>
      </c>
      <c r="F1481" s="127">
        <v>1</v>
      </c>
      <c r="G1481" s="130" t="s">
        <v>82</v>
      </c>
    </row>
    <row r="1482" spans="2:7" x14ac:dyDescent="0.25">
      <c r="B1482" s="126" t="s">
        <v>75</v>
      </c>
      <c r="C1482" s="127">
        <v>29</v>
      </c>
      <c r="D1482" s="127" t="s">
        <v>87</v>
      </c>
      <c r="E1482" s="127">
        <v>2</v>
      </c>
      <c r="F1482" s="127">
        <v>1</v>
      </c>
      <c r="G1482" s="130" t="s">
        <v>91</v>
      </c>
    </row>
    <row r="1483" spans="2:7" x14ac:dyDescent="0.25">
      <c r="B1483" s="126" t="s">
        <v>75</v>
      </c>
      <c r="C1483" s="127">
        <v>29</v>
      </c>
      <c r="D1483" s="127" t="s">
        <v>81</v>
      </c>
      <c r="E1483" s="127">
        <v>2</v>
      </c>
      <c r="F1483" s="127">
        <v>0</v>
      </c>
      <c r="G1483" s="130" t="s">
        <v>85</v>
      </c>
    </row>
    <row r="1484" spans="2:7" x14ac:dyDescent="0.25">
      <c r="B1484" s="126" t="s">
        <v>75</v>
      </c>
      <c r="C1484" s="127">
        <v>29</v>
      </c>
      <c r="D1484" s="127" t="s">
        <v>80</v>
      </c>
      <c r="E1484" s="127">
        <v>2</v>
      </c>
      <c r="F1484" s="127">
        <v>1</v>
      </c>
      <c r="G1484" s="130" t="s">
        <v>90</v>
      </c>
    </row>
    <row r="1485" spans="2:7" x14ac:dyDescent="0.25">
      <c r="B1485" s="126" t="s">
        <v>75</v>
      </c>
      <c r="C1485" s="127">
        <v>29</v>
      </c>
      <c r="D1485" s="127" t="s">
        <v>86</v>
      </c>
      <c r="E1485" s="127">
        <v>2</v>
      </c>
      <c r="F1485" s="127">
        <v>0</v>
      </c>
      <c r="G1485" s="130" t="s">
        <v>88</v>
      </c>
    </row>
    <row r="1486" spans="2:7" x14ac:dyDescent="0.25">
      <c r="B1486" s="126" t="s">
        <v>75</v>
      </c>
      <c r="C1486" s="127">
        <v>29</v>
      </c>
      <c r="D1486" s="127" t="s">
        <v>89</v>
      </c>
      <c r="E1486" s="127">
        <v>1</v>
      </c>
      <c r="F1486" s="127">
        <v>4</v>
      </c>
      <c r="G1486" s="130" t="s">
        <v>79</v>
      </c>
    </row>
    <row r="1487" spans="2:7" x14ac:dyDescent="0.25">
      <c r="B1487" s="126" t="s">
        <v>75</v>
      </c>
      <c r="C1487" s="127">
        <v>29</v>
      </c>
      <c r="D1487" s="127" t="s">
        <v>84</v>
      </c>
      <c r="E1487" s="127">
        <v>1</v>
      </c>
      <c r="F1487" s="127">
        <v>3</v>
      </c>
      <c r="G1487" s="130" t="s">
        <v>92</v>
      </c>
    </row>
    <row r="1488" spans="2:7" x14ac:dyDescent="0.25">
      <c r="B1488" s="126" t="s">
        <v>75</v>
      </c>
      <c r="C1488" s="127">
        <v>30</v>
      </c>
      <c r="D1488" s="127" t="s">
        <v>92</v>
      </c>
      <c r="E1488" s="127">
        <v>6</v>
      </c>
      <c r="F1488" s="127">
        <v>0</v>
      </c>
      <c r="G1488" s="130" t="s">
        <v>94</v>
      </c>
    </row>
    <row r="1489" spans="2:7" x14ac:dyDescent="0.25">
      <c r="B1489" s="126" t="s">
        <v>75</v>
      </c>
      <c r="C1489" s="127">
        <v>30</v>
      </c>
      <c r="D1489" s="127" t="s">
        <v>79</v>
      </c>
      <c r="E1489" s="127">
        <v>1</v>
      </c>
      <c r="F1489" s="127">
        <v>0</v>
      </c>
      <c r="G1489" s="130" t="s">
        <v>87</v>
      </c>
    </row>
    <row r="1490" spans="2:7" x14ac:dyDescent="0.25">
      <c r="B1490" s="126" t="s">
        <v>75</v>
      </c>
      <c r="C1490" s="127">
        <v>30</v>
      </c>
      <c r="D1490" s="127" t="s">
        <v>90</v>
      </c>
      <c r="E1490" s="127">
        <v>3</v>
      </c>
      <c r="F1490" s="127">
        <v>1</v>
      </c>
      <c r="G1490" s="130" t="s">
        <v>89</v>
      </c>
    </row>
    <row r="1491" spans="2:7" x14ac:dyDescent="0.25">
      <c r="B1491" s="126" t="s">
        <v>75</v>
      </c>
      <c r="C1491" s="127">
        <v>30</v>
      </c>
      <c r="D1491" s="127" t="s">
        <v>83</v>
      </c>
      <c r="E1491" s="127">
        <v>2</v>
      </c>
      <c r="F1491" s="127">
        <v>0</v>
      </c>
      <c r="G1491" s="130" t="s">
        <v>174</v>
      </c>
    </row>
    <row r="1492" spans="2:7" x14ac:dyDescent="0.25">
      <c r="B1492" s="126" t="s">
        <v>75</v>
      </c>
      <c r="C1492" s="127">
        <v>30</v>
      </c>
      <c r="D1492" s="127" t="s">
        <v>82</v>
      </c>
      <c r="E1492" s="127">
        <v>1</v>
      </c>
      <c r="F1492" s="127">
        <v>2</v>
      </c>
      <c r="G1492" s="130" t="s">
        <v>81</v>
      </c>
    </row>
    <row r="1493" spans="2:7" x14ac:dyDescent="0.25">
      <c r="B1493" s="126" t="s">
        <v>75</v>
      </c>
      <c r="C1493" s="127">
        <v>30</v>
      </c>
      <c r="D1493" s="127" t="s">
        <v>93</v>
      </c>
      <c r="E1493" s="127">
        <v>2</v>
      </c>
      <c r="F1493" s="127">
        <v>5</v>
      </c>
      <c r="G1493" s="130" t="s">
        <v>86</v>
      </c>
    </row>
    <row r="1494" spans="2:7" x14ac:dyDescent="0.25">
      <c r="B1494" s="126" t="s">
        <v>75</v>
      </c>
      <c r="C1494" s="127">
        <v>30</v>
      </c>
      <c r="D1494" s="127" t="s">
        <v>91</v>
      </c>
      <c r="E1494" s="127">
        <v>0</v>
      </c>
      <c r="F1494" s="127">
        <v>4</v>
      </c>
      <c r="G1494" s="130" t="s">
        <v>80</v>
      </c>
    </row>
    <row r="1495" spans="2:7" x14ac:dyDescent="0.25">
      <c r="B1495" s="126" t="s">
        <v>75</v>
      </c>
      <c r="C1495" s="127">
        <v>30</v>
      </c>
      <c r="D1495" s="127" t="s">
        <v>88</v>
      </c>
      <c r="E1495" s="127">
        <v>0</v>
      </c>
      <c r="F1495" s="127">
        <v>0</v>
      </c>
      <c r="G1495" s="130" t="s">
        <v>172</v>
      </c>
    </row>
    <row r="1496" spans="2:7" x14ac:dyDescent="0.25">
      <c r="B1496" s="126" t="s">
        <v>75</v>
      </c>
      <c r="C1496" s="127">
        <v>30</v>
      </c>
      <c r="D1496" s="127" t="s">
        <v>85</v>
      </c>
      <c r="E1496" s="127">
        <v>1</v>
      </c>
      <c r="F1496" s="127">
        <v>1</v>
      </c>
      <c r="G1496" s="130" t="s">
        <v>84</v>
      </c>
    </row>
    <row r="1497" spans="2:7" x14ac:dyDescent="0.25">
      <c r="B1497" s="126" t="s">
        <v>75</v>
      </c>
      <c r="C1497" s="127">
        <v>31</v>
      </c>
      <c r="D1497" s="127" t="s">
        <v>92</v>
      </c>
      <c r="E1497" s="127">
        <v>1</v>
      </c>
      <c r="F1497" s="127">
        <v>4</v>
      </c>
      <c r="G1497" s="130" t="s">
        <v>83</v>
      </c>
    </row>
    <row r="1498" spans="2:7" x14ac:dyDescent="0.25">
      <c r="B1498" s="126" t="s">
        <v>75</v>
      </c>
      <c r="C1498" s="127">
        <v>31</v>
      </c>
      <c r="D1498" s="127" t="s">
        <v>80</v>
      </c>
      <c r="E1498" s="127">
        <v>2</v>
      </c>
      <c r="F1498" s="127">
        <v>4</v>
      </c>
      <c r="G1498" s="130" t="s">
        <v>93</v>
      </c>
    </row>
    <row r="1499" spans="2:7" x14ac:dyDescent="0.25">
      <c r="B1499" s="126" t="s">
        <v>75</v>
      </c>
      <c r="C1499" s="127">
        <v>31</v>
      </c>
      <c r="D1499" s="127" t="s">
        <v>84</v>
      </c>
      <c r="E1499" s="127">
        <v>0</v>
      </c>
      <c r="F1499" s="127">
        <v>0</v>
      </c>
      <c r="G1499" s="130" t="s">
        <v>88</v>
      </c>
    </row>
    <row r="1500" spans="2:7" x14ac:dyDescent="0.25">
      <c r="B1500" s="126" t="s">
        <v>75</v>
      </c>
      <c r="C1500" s="127">
        <v>31</v>
      </c>
      <c r="D1500" s="127" t="s">
        <v>89</v>
      </c>
      <c r="E1500" s="127">
        <v>4</v>
      </c>
      <c r="F1500" s="127">
        <v>1</v>
      </c>
      <c r="G1500" s="130" t="s">
        <v>87</v>
      </c>
    </row>
    <row r="1501" spans="2:7" x14ac:dyDescent="0.25">
      <c r="B1501" s="126" t="s">
        <v>75</v>
      </c>
      <c r="C1501" s="127">
        <v>31</v>
      </c>
      <c r="D1501" s="127" t="s">
        <v>81</v>
      </c>
      <c r="E1501" s="127">
        <v>2</v>
      </c>
      <c r="F1501" s="127">
        <v>1</v>
      </c>
      <c r="G1501" s="130" t="s">
        <v>91</v>
      </c>
    </row>
    <row r="1502" spans="2:7" x14ac:dyDescent="0.25">
      <c r="B1502" s="126" t="s">
        <v>75</v>
      </c>
      <c r="C1502" s="127">
        <v>31</v>
      </c>
      <c r="D1502" s="127" t="s">
        <v>172</v>
      </c>
      <c r="E1502" s="127">
        <v>1</v>
      </c>
      <c r="F1502" s="127">
        <v>0</v>
      </c>
      <c r="G1502" s="130" t="s">
        <v>90</v>
      </c>
    </row>
    <row r="1503" spans="2:7" x14ac:dyDescent="0.25">
      <c r="B1503" s="126" t="s">
        <v>75</v>
      </c>
      <c r="C1503" s="127">
        <v>31</v>
      </c>
      <c r="D1503" s="127" t="s">
        <v>94</v>
      </c>
      <c r="E1503" s="127">
        <v>1</v>
      </c>
      <c r="F1503" s="127">
        <v>0</v>
      </c>
      <c r="G1503" s="130" t="s">
        <v>82</v>
      </c>
    </row>
    <row r="1504" spans="2:7" x14ac:dyDescent="0.25">
      <c r="B1504" s="126" t="s">
        <v>75</v>
      </c>
      <c r="C1504" s="127">
        <v>31</v>
      </c>
      <c r="D1504" s="127" t="s">
        <v>86</v>
      </c>
      <c r="E1504" s="127">
        <v>1</v>
      </c>
      <c r="F1504" s="127">
        <v>4</v>
      </c>
      <c r="G1504" s="130" t="s">
        <v>85</v>
      </c>
    </row>
    <row r="1505" spans="2:7" x14ac:dyDescent="0.25">
      <c r="B1505" s="126" t="s">
        <v>75</v>
      </c>
      <c r="C1505" s="127">
        <v>31</v>
      </c>
      <c r="D1505" s="127" t="s">
        <v>174</v>
      </c>
      <c r="E1505" s="127">
        <v>1</v>
      </c>
      <c r="F1505" s="127">
        <v>1</v>
      </c>
      <c r="G1505" s="130" t="s">
        <v>79</v>
      </c>
    </row>
    <row r="1506" spans="2:7" x14ac:dyDescent="0.25">
      <c r="B1506" s="126" t="s">
        <v>75</v>
      </c>
      <c r="C1506" s="127">
        <v>32</v>
      </c>
      <c r="D1506" s="127" t="s">
        <v>90</v>
      </c>
      <c r="E1506" s="127">
        <v>3</v>
      </c>
      <c r="F1506" s="127">
        <v>3</v>
      </c>
      <c r="G1506" s="130" t="s">
        <v>81</v>
      </c>
    </row>
    <row r="1507" spans="2:7" x14ac:dyDescent="0.25">
      <c r="B1507" s="126" t="s">
        <v>75</v>
      </c>
      <c r="C1507" s="127">
        <v>32</v>
      </c>
      <c r="D1507" s="127" t="s">
        <v>82</v>
      </c>
      <c r="E1507" s="127">
        <v>2</v>
      </c>
      <c r="F1507" s="127">
        <v>2</v>
      </c>
      <c r="G1507" s="130" t="s">
        <v>86</v>
      </c>
    </row>
    <row r="1508" spans="2:7" x14ac:dyDescent="0.25">
      <c r="B1508" s="126" t="s">
        <v>75</v>
      </c>
      <c r="C1508" s="127">
        <v>32</v>
      </c>
      <c r="D1508" s="127" t="s">
        <v>88</v>
      </c>
      <c r="E1508" s="127">
        <v>3</v>
      </c>
      <c r="F1508" s="127">
        <v>1</v>
      </c>
      <c r="G1508" s="130" t="s">
        <v>94</v>
      </c>
    </row>
    <row r="1509" spans="2:7" x14ac:dyDescent="0.25">
      <c r="B1509" s="126" t="s">
        <v>75</v>
      </c>
      <c r="C1509" s="127">
        <v>32</v>
      </c>
      <c r="D1509" s="127" t="s">
        <v>79</v>
      </c>
      <c r="E1509" s="127">
        <v>3</v>
      </c>
      <c r="F1509" s="127">
        <v>1</v>
      </c>
      <c r="G1509" s="130" t="s">
        <v>172</v>
      </c>
    </row>
    <row r="1510" spans="2:7" x14ac:dyDescent="0.25">
      <c r="B1510" s="126" t="s">
        <v>75</v>
      </c>
      <c r="C1510" s="127">
        <v>32</v>
      </c>
      <c r="D1510" s="127" t="s">
        <v>85</v>
      </c>
      <c r="E1510" s="127">
        <v>2</v>
      </c>
      <c r="F1510" s="127">
        <v>0</v>
      </c>
      <c r="G1510" s="130" t="s">
        <v>174</v>
      </c>
    </row>
    <row r="1511" spans="2:7" x14ac:dyDescent="0.25">
      <c r="B1511" s="126" t="s">
        <v>75</v>
      </c>
      <c r="C1511" s="127">
        <v>32</v>
      </c>
      <c r="D1511" s="127" t="s">
        <v>87</v>
      </c>
      <c r="E1511" s="127">
        <v>2</v>
      </c>
      <c r="F1511" s="127">
        <v>2</v>
      </c>
      <c r="G1511" s="130" t="s">
        <v>80</v>
      </c>
    </row>
    <row r="1512" spans="2:7" x14ac:dyDescent="0.25">
      <c r="B1512" s="126" t="s">
        <v>75</v>
      </c>
      <c r="C1512" s="127">
        <v>32</v>
      </c>
      <c r="D1512" s="127" t="s">
        <v>93</v>
      </c>
      <c r="E1512" s="127">
        <v>0</v>
      </c>
      <c r="F1512" s="127">
        <v>0</v>
      </c>
      <c r="G1512" s="130" t="s">
        <v>92</v>
      </c>
    </row>
    <row r="1513" spans="2:7" x14ac:dyDescent="0.25">
      <c r="B1513" s="126" t="s">
        <v>75</v>
      </c>
      <c r="C1513" s="127">
        <v>32</v>
      </c>
      <c r="D1513" s="127" t="s">
        <v>91</v>
      </c>
      <c r="E1513" s="127">
        <v>1</v>
      </c>
      <c r="F1513" s="127">
        <v>1</v>
      </c>
      <c r="G1513" s="130" t="s">
        <v>89</v>
      </c>
    </row>
    <row r="1514" spans="2:7" x14ac:dyDescent="0.25">
      <c r="B1514" s="126" t="s">
        <v>75</v>
      </c>
      <c r="C1514" s="127">
        <v>32</v>
      </c>
      <c r="D1514" s="127" t="s">
        <v>83</v>
      </c>
      <c r="E1514" s="127">
        <v>6</v>
      </c>
      <c r="F1514" s="127">
        <v>1</v>
      </c>
      <c r="G1514" s="130" t="s">
        <v>84</v>
      </c>
    </row>
    <row r="1515" spans="2:7" x14ac:dyDescent="0.25">
      <c r="B1515" s="126" t="s">
        <v>75</v>
      </c>
      <c r="C1515" s="127">
        <v>33</v>
      </c>
      <c r="D1515" s="127" t="s">
        <v>81</v>
      </c>
      <c r="E1515" s="127">
        <v>0</v>
      </c>
      <c r="F1515" s="127">
        <v>0</v>
      </c>
      <c r="G1515" s="130" t="s">
        <v>79</v>
      </c>
    </row>
    <row r="1516" spans="2:7" x14ac:dyDescent="0.25">
      <c r="B1516" s="126" t="s">
        <v>75</v>
      </c>
      <c r="C1516" s="127">
        <v>33</v>
      </c>
      <c r="D1516" s="127" t="s">
        <v>83</v>
      </c>
      <c r="E1516" s="127">
        <v>1</v>
      </c>
      <c r="F1516" s="127">
        <v>1</v>
      </c>
      <c r="G1516" s="130" t="s">
        <v>93</v>
      </c>
    </row>
    <row r="1517" spans="2:7" x14ac:dyDescent="0.25">
      <c r="B1517" s="126" t="s">
        <v>75</v>
      </c>
      <c r="C1517" s="127">
        <v>33</v>
      </c>
      <c r="D1517" s="127" t="s">
        <v>174</v>
      </c>
      <c r="E1517" s="127">
        <v>0</v>
      </c>
      <c r="F1517" s="127">
        <v>4</v>
      </c>
      <c r="G1517" s="130" t="s">
        <v>82</v>
      </c>
    </row>
    <row r="1518" spans="2:7" x14ac:dyDescent="0.25">
      <c r="B1518" s="126" t="s">
        <v>75</v>
      </c>
      <c r="C1518" s="127">
        <v>33</v>
      </c>
      <c r="D1518" s="127" t="s">
        <v>92</v>
      </c>
      <c r="E1518" s="127">
        <v>3</v>
      </c>
      <c r="F1518" s="127">
        <v>4</v>
      </c>
      <c r="G1518" s="130" t="s">
        <v>88</v>
      </c>
    </row>
    <row r="1519" spans="2:7" x14ac:dyDescent="0.25">
      <c r="B1519" s="126" t="s">
        <v>75</v>
      </c>
      <c r="C1519" s="127">
        <v>33</v>
      </c>
      <c r="D1519" s="127" t="s">
        <v>86</v>
      </c>
      <c r="E1519" s="127">
        <v>0</v>
      </c>
      <c r="F1519" s="127">
        <v>1</v>
      </c>
      <c r="G1519" s="130" t="s">
        <v>87</v>
      </c>
    </row>
    <row r="1520" spans="2:7" x14ac:dyDescent="0.25">
      <c r="B1520" s="126" t="s">
        <v>75</v>
      </c>
      <c r="C1520" s="127">
        <v>33</v>
      </c>
      <c r="D1520" s="127" t="s">
        <v>172</v>
      </c>
      <c r="E1520" s="127">
        <v>3</v>
      </c>
      <c r="F1520" s="127">
        <v>0</v>
      </c>
      <c r="G1520" s="130" t="s">
        <v>91</v>
      </c>
    </row>
    <row r="1521" spans="2:7" x14ac:dyDescent="0.25">
      <c r="B1521" s="126" t="s">
        <v>75</v>
      </c>
      <c r="C1521" s="127">
        <v>33</v>
      </c>
      <c r="D1521" s="127" t="s">
        <v>94</v>
      </c>
      <c r="E1521" s="127">
        <v>3</v>
      </c>
      <c r="F1521" s="127">
        <v>0</v>
      </c>
      <c r="G1521" s="130" t="s">
        <v>85</v>
      </c>
    </row>
    <row r="1522" spans="2:7" x14ac:dyDescent="0.25">
      <c r="B1522" s="126" t="s">
        <v>75</v>
      </c>
      <c r="C1522" s="127">
        <v>33</v>
      </c>
      <c r="D1522" s="127" t="s">
        <v>80</v>
      </c>
      <c r="E1522" s="127">
        <v>3</v>
      </c>
      <c r="F1522" s="127">
        <v>2</v>
      </c>
      <c r="G1522" s="130" t="s">
        <v>89</v>
      </c>
    </row>
    <row r="1523" spans="2:7" x14ac:dyDescent="0.25">
      <c r="B1523" s="126" t="s">
        <v>75</v>
      </c>
      <c r="C1523" s="127">
        <v>33</v>
      </c>
      <c r="D1523" s="127" t="s">
        <v>84</v>
      </c>
      <c r="E1523" s="127">
        <v>0</v>
      </c>
      <c r="F1523" s="127">
        <v>2</v>
      </c>
      <c r="G1523" s="130" t="s">
        <v>90</v>
      </c>
    </row>
    <row r="1524" spans="2:7" x14ac:dyDescent="0.25">
      <c r="B1524" s="126" t="s">
        <v>75</v>
      </c>
      <c r="C1524" s="127">
        <v>34</v>
      </c>
      <c r="D1524" s="127" t="s">
        <v>90</v>
      </c>
      <c r="E1524" s="127">
        <v>4</v>
      </c>
      <c r="F1524" s="127">
        <v>2</v>
      </c>
      <c r="G1524" s="130" t="s">
        <v>86</v>
      </c>
    </row>
    <row r="1525" spans="2:7" x14ac:dyDescent="0.25">
      <c r="B1525" s="126" t="s">
        <v>75</v>
      </c>
      <c r="C1525" s="127">
        <v>34</v>
      </c>
      <c r="D1525" s="127" t="s">
        <v>82</v>
      </c>
      <c r="E1525" s="127">
        <v>0</v>
      </c>
      <c r="F1525" s="127">
        <v>2</v>
      </c>
      <c r="G1525" s="130" t="s">
        <v>80</v>
      </c>
    </row>
    <row r="1526" spans="2:7" x14ac:dyDescent="0.25">
      <c r="B1526" s="126" t="s">
        <v>75</v>
      </c>
      <c r="C1526" s="127">
        <v>34</v>
      </c>
      <c r="D1526" s="127" t="s">
        <v>88</v>
      </c>
      <c r="E1526" s="127">
        <v>1</v>
      </c>
      <c r="F1526" s="127">
        <v>5</v>
      </c>
      <c r="G1526" s="130" t="s">
        <v>83</v>
      </c>
    </row>
    <row r="1527" spans="2:7" x14ac:dyDescent="0.25">
      <c r="B1527" s="126" t="s">
        <v>75</v>
      </c>
      <c r="C1527" s="127">
        <v>34</v>
      </c>
      <c r="D1527" s="127" t="s">
        <v>87</v>
      </c>
      <c r="E1527" s="127">
        <v>2</v>
      </c>
      <c r="F1527" s="127">
        <v>1</v>
      </c>
      <c r="G1527" s="130" t="s">
        <v>81</v>
      </c>
    </row>
    <row r="1528" spans="2:7" x14ac:dyDescent="0.25">
      <c r="B1528" s="126" t="s">
        <v>75</v>
      </c>
      <c r="C1528" s="127">
        <v>34</v>
      </c>
      <c r="D1528" s="127" t="s">
        <v>93</v>
      </c>
      <c r="E1528" s="127">
        <v>0</v>
      </c>
      <c r="F1528" s="127">
        <v>0</v>
      </c>
      <c r="G1528" s="130" t="s">
        <v>94</v>
      </c>
    </row>
    <row r="1529" spans="2:7" x14ac:dyDescent="0.25">
      <c r="B1529" s="126" t="s">
        <v>75</v>
      </c>
      <c r="C1529" s="127">
        <v>34</v>
      </c>
      <c r="D1529" s="127" t="s">
        <v>79</v>
      </c>
      <c r="E1529" s="127">
        <v>5</v>
      </c>
      <c r="F1529" s="127">
        <v>1</v>
      </c>
      <c r="G1529" s="130" t="s">
        <v>84</v>
      </c>
    </row>
    <row r="1530" spans="2:7" x14ac:dyDescent="0.25">
      <c r="B1530" s="126" t="s">
        <v>75</v>
      </c>
      <c r="C1530" s="127">
        <v>34</v>
      </c>
      <c r="D1530" s="127" t="s">
        <v>85</v>
      </c>
      <c r="E1530" s="127">
        <v>8</v>
      </c>
      <c r="F1530" s="127">
        <v>1</v>
      </c>
      <c r="G1530" s="130" t="s">
        <v>92</v>
      </c>
    </row>
    <row r="1531" spans="2:7" x14ac:dyDescent="0.25">
      <c r="B1531" s="126" t="s">
        <v>75</v>
      </c>
      <c r="C1531" s="127">
        <v>34</v>
      </c>
      <c r="D1531" s="127" t="s">
        <v>89</v>
      </c>
      <c r="E1531" s="127">
        <v>2</v>
      </c>
      <c r="F1531" s="127">
        <v>1</v>
      </c>
      <c r="G1531" s="130" t="s">
        <v>172</v>
      </c>
    </row>
    <row r="1532" spans="2:7" x14ac:dyDescent="0.25">
      <c r="B1532" s="126" t="s">
        <v>75</v>
      </c>
      <c r="C1532" s="127">
        <v>34</v>
      </c>
      <c r="D1532" s="127" t="s">
        <v>91</v>
      </c>
      <c r="E1532" s="127">
        <v>5</v>
      </c>
      <c r="F1532" s="127">
        <v>1</v>
      </c>
      <c r="G1532" s="130" t="s">
        <v>174</v>
      </c>
    </row>
    <row r="1533" spans="2:7" x14ac:dyDescent="0.25">
      <c r="B1533" s="126" t="s">
        <v>163</v>
      </c>
      <c r="C1533" s="127">
        <v>1</v>
      </c>
      <c r="D1533" s="127" t="s">
        <v>79</v>
      </c>
      <c r="E1533" s="127">
        <v>2</v>
      </c>
      <c r="F1533" s="127">
        <v>2</v>
      </c>
      <c r="G1533" s="130" t="s">
        <v>88</v>
      </c>
    </row>
    <row r="1534" spans="2:7" x14ac:dyDescent="0.25">
      <c r="B1534" s="126" t="s">
        <v>163</v>
      </c>
      <c r="C1534" s="127">
        <v>1</v>
      </c>
      <c r="D1534" s="127" t="s">
        <v>80</v>
      </c>
      <c r="E1534" s="127">
        <v>5</v>
      </c>
      <c r="F1534" s="127">
        <v>1</v>
      </c>
      <c r="G1534" s="130" t="s">
        <v>92</v>
      </c>
    </row>
    <row r="1535" spans="2:7" x14ac:dyDescent="0.25">
      <c r="B1535" s="126" t="s">
        <v>163</v>
      </c>
      <c r="C1535" s="127">
        <v>1</v>
      </c>
      <c r="D1535" s="127" t="s">
        <v>83</v>
      </c>
      <c r="E1535" s="127">
        <v>3</v>
      </c>
      <c r="F1535" s="127">
        <v>2</v>
      </c>
      <c r="G1535" s="130" t="s">
        <v>148</v>
      </c>
    </row>
    <row r="1536" spans="2:7" x14ac:dyDescent="0.25">
      <c r="B1536" s="126" t="s">
        <v>163</v>
      </c>
      <c r="C1536" s="127">
        <v>1</v>
      </c>
      <c r="D1536" s="127" t="s">
        <v>85</v>
      </c>
      <c r="E1536" s="127">
        <v>2</v>
      </c>
      <c r="F1536" s="127">
        <v>1</v>
      </c>
      <c r="G1536" s="130" t="s">
        <v>161</v>
      </c>
    </row>
    <row r="1537" spans="2:7" x14ac:dyDescent="0.25">
      <c r="B1537" s="126" t="s">
        <v>163</v>
      </c>
      <c r="C1537" s="127">
        <v>1</v>
      </c>
      <c r="D1537" s="127" t="s">
        <v>87</v>
      </c>
      <c r="E1537" s="127">
        <v>1</v>
      </c>
      <c r="F1537" s="127">
        <v>3</v>
      </c>
      <c r="G1537" s="130" t="s">
        <v>89</v>
      </c>
    </row>
    <row r="1538" spans="2:7" x14ac:dyDescent="0.25">
      <c r="B1538" s="126" t="s">
        <v>163</v>
      </c>
      <c r="C1538" s="127">
        <v>1</v>
      </c>
      <c r="D1538" s="127" t="s">
        <v>91</v>
      </c>
      <c r="E1538" s="127">
        <v>3</v>
      </c>
      <c r="F1538" s="127">
        <v>0</v>
      </c>
      <c r="G1538" s="130" t="s">
        <v>90</v>
      </c>
    </row>
    <row r="1539" spans="2:7" x14ac:dyDescent="0.25">
      <c r="B1539" s="126" t="s">
        <v>163</v>
      </c>
      <c r="C1539" s="127">
        <v>1</v>
      </c>
      <c r="D1539" s="127" t="s">
        <v>82</v>
      </c>
      <c r="E1539" s="127">
        <v>0</v>
      </c>
      <c r="F1539" s="127">
        <v>0</v>
      </c>
      <c r="G1539" s="130" t="s">
        <v>93</v>
      </c>
    </row>
    <row r="1540" spans="2:7" x14ac:dyDescent="0.25">
      <c r="B1540" s="126" t="s">
        <v>163</v>
      </c>
      <c r="C1540" s="127">
        <v>1</v>
      </c>
      <c r="D1540" s="127" t="s">
        <v>84</v>
      </c>
      <c r="E1540" s="127">
        <v>1</v>
      </c>
      <c r="F1540" s="127">
        <v>0</v>
      </c>
      <c r="G1540" s="130" t="s">
        <v>86</v>
      </c>
    </row>
    <row r="1541" spans="2:7" x14ac:dyDescent="0.25">
      <c r="B1541" s="126" t="s">
        <v>163</v>
      </c>
      <c r="C1541" s="127">
        <v>1</v>
      </c>
      <c r="D1541" s="127" t="s">
        <v>162</v>
      </c>
      <c r="E1541" s="127">
        <v>0</v>
      </c>
      <c r="F1541" s="127">
        <v>4</v>
      </c>
      <c r="G1541" s="130" t="s">
        <v>81</v>
      </c>
    </row>
    <row r="1542" spans="2:7" x14ac:dyDescent="0.25">
      <c r="B1542" s="126" t="s">
        <v>163</v>
      </c>
      <c r="C1542" s="127">
        <v>2</v>
      </c>
      <c r="D1542" s="127" t="s">
        <v>161</v>
      </c>
      <c r="E1542" s="127">
        <v>1</v>
      </c>
      <c r="F1542" s="127">
        <v>3</v>
      </c>
      <c r="G1542" s="130" t="s">
        <v>80</v>
      </c>
    </row>
    <row r="1543" spans="2:7" x14ac:dyDescent="0.25">
      <c r="B1543" s="126" t="s">
        <v>163</v>
      </c>
      <c r="C1543" s="127">
        <v>2</v>
      </c>
      <c r="D1543" s="127" t="s">
        <v>86</v>
      </c>
      <c r="E1543" s="127">
        <v>3</v>
      </c>
      <c r="F1543" s="127">
        <v>2</v>
      </c>
      <c r="G1543" s="130" t="s">
        <v>87</v>
      </c>
    </row>
    <row r="1544" spans="2:7" x14ac:dyDescent="0.25">
      <c r="B1544" s="126" t="s">
        <v>163</v>
      </c>
      <c r="C1544" s="127">
        <v>2</v>
      </c>
      <c r="D1544" s="127" t="s">
        <v>89</v>
      </c>
      <c r="E1544" s="127">
        <v>1</v>
      </c>
      <c r="F1544" s="127">
        <v>3</v>
      </c>
      <c r="G1544" s="130" t="s">
        <v>83</v>
      </c>
    </row>
    <row r="1545" spans="2:7" x14ac:dyDescent="0.25">
      <c r="B1545" s="126" t="s">
        <v>163</v>
      </c>
      <c r="C1545" s="127">
        <v>2</v>
      </c>
      <c r="D1545" s="127" t="s">
        <v>90</v>
      </c>
      <c r="E1545" s="127">
        <v>1</v>
      </c>
      <c r="F1545" s="127">
        <v>3</v>
      </c>
      <c r="G1545" s="130" t="s">
        <v>82</v>
      </c>
    </row>
    <row r="1546" spans="2:7" x14ac:dyDescent="0.25">
      <c r="B1546" s="126" t="s">
        <v>163</v>
      </c>
      <c r="C1546" s="127">
        <v>2</v>
      </c>
      <c r="D1546" s="127" t="s">
        <v>92</v>
      </c>
      <c r="E1546" s="127">
        <v>1</v>
      </c>
      <c r="F1546" s="127">
        <v>1</v>
      </c>
      <c r="G1546" s="130" t="s">
        <v>162</v>
      </c>
    </row>
    <row r="1547" spans="2:7" x14ac:dyDescent="0.25">
      <c r="B1547" s="126" t="s">
        <v>163</v>
      </c>
      <c r="C1547" s="127">
        <v>2</v>
      </c>
      <c r="D1547" s="127" t="s">
        <v>148</v>
      </c>
      <c r="E1547" s="127">
        <v>1</v>
      </c>
      <c r="F1547" s="127">
        <v>3</v>
      </c>
      <c r="G1547" s="130" t="s">
        <v>91</v>
      </c>
    </row>
    <row r="1548" spans="2:7" x14ac:dyDescent="0.25">
      <c r="B1548" s="126" t="s">
        <v>163</v>
      </c>
      <c r="C1548" s="127">
        <v>2</v>
      </c>
      <c r="D1548" s="127" t="s">
        <v>93</v>
      </c>
      <c r="E1548" s="127">
        <v>0</v>
      </c>
      <c r="F1548" s="127">
        <v>3</v>
      </c>
      <c r="G1548" s="130" t="s">
        <v>79</v>
      </c>
    </row>
    <row r="1549" spans="2:7" x14ac:dyDescent="0.25">
      <c r="B1549" s="126" t="s">
        <v>163</v>
      </c>
      <c r="C1549" s="127">
        <v>2</v>
      </c>
      <c r="D1549" s="127" t="s">
        <v>81</v>
      </c>
      <c r="E1549" s="127">
        <v>2</v>
      </c>
      <c r="F1549" s="127">
        <v>1</v>
      </c>
      <c r="G1549" s="130" t="s">
        <v>84</v>
      </c>
    </row>
    <row r="1550" spans="2:7" x14ac:dyDescent="0.25">
      <c r="B1550" s="126" t="s">
        <v>163</v>
      </c>
      <c r="C1550" s="127">
        <v>2</v>
      </c>
      <c r="D1550" s="127" t="s">
        <v>88</v>
      </c>
      <c r="E1550" s="127">
        <v>0</v>
      </c>
      <c r="F1550" s="127">
        <v>3</v>
      </c>
      <c r="G1550" s="130" t="s">
        <v>85</v>
      </c>
    </row>
    <row r="1551" spans="2:7" x14ac:dyDescent="0.25">
      <c r="B1551" s="126" t="s">
        <v>163</v>
      </c>
      <c r="C1551" s="127">
        <v>3</v>
      </c>
      <c r="D1551" s="127" t="s">
        <v>82</v>
      </c>
      <c r="E1551" s="127">
        <v>1</v>
      </c>
      <c r="F1551" s="127">
        <v>3</v>
      </c>
      <c r="G1551" s="130" t="s">
        <v>81</v>
      </c>
    </row>
    <row r="1552" spans="2:7" x14ac:dyDescent="0.25">
      <c r="B1552" s="126" t="s">
        <v>163</v>
      </c>
      <c r="C1552" s="127">
        <v>3</v>
      </c>
      <c r="D1552" s="127" t="s">
        <v>79</v>
      </c>
      <c r="E1552" s="127">
        <v>6</v>
      </c>
      <c r="F1552" s="127">
        <v>1</v>
      </c>
      <c r="G1552" s="130" t="s">
        <v>90</v>
      </c>
    </row>
    <row r="1553" spans="2:7" x14ac:dyDescent="0.25">
      <c r="B1553" s="126" t="s">
        <v>163</v>
      </c>
      <c r="C1553" s="127">
        <v>3</v>
      </c>
      <c r="D1553" s="127" t="s">
        <v>83</v>
      </c>
      <c r="E1553" s="127">
        <v>0</v>
      </c>
      <c r="F1553" s="127">
        <v>0</v>
      </c>
      <c r="G1553" s="130" t="s">
        <v>86</v>
      </c>
    </row>
    <row r="1554" spans="2:7" x14ac:dyDescent="0.25">
      <c r="B1554" s="126" t="s">
        <v>163</v>
      </c>
      <c r="C1554" s="127">
        <v>3</v>
      </c>
      <c r="D1554" s="127" t="s">
        <v>85</v>
      </c>
      <c r="E1554" s="127">
        <v>1</v>
      </c>
      <c r="F1554" s="127">
        <v>1</v>
      </c>
      <c r="G1554" s="130" t="s">
        <v>148</v>
      </c>
    </row>
    <row r="1555" spans="2:7" x14ac:dyDescent="0.25">
      <c r="B1555" s="126" t="s">
        <v>163</v>
      </c>
      <c r="C1555" s="127">
        <v>3</v>
      </c>
      <c r="D1555" s="127" t="s">
        <v>91</v>
      </c>
      <c r="E1555" s="127">
        <v>1</v>
      </c>
      <c r="F1555" s="127">
        <v>2</v>
      </c>
      <c r="G1555" s="130" t="s">
        <v>161</v>
      </c>
    </row>
    <row r="1556" spans="2:7" x14ac:dyDescent="0.25">
      <c r="B1556" s="126" t="s">
        <v>163</v>
      </c>
      <c r="C1556" s="127">
        <v>3</v>
      </c>
      <c r="D1556" s="127" t="s">
        <v>93</v>
      </c>
      <c r="E1556" s="127">
        <v>3</v>
      </c>
      <c r="F1556" s="127">
        <v>0</v>
      </c>
      <c r="G1556" s="130" t="s">
        <v>88</v>
      </c>
    </row>
    <row r="1557" spans="2:7" x14ac:dyDescent="0.25">
      <c r="B1557" s="126" t="s">
        <v>163</v>
      </c>
      <c r="C1557" s="127">
        <v>3</v>
      </c>
      <c r="D1557" s="127" t="s">
        <v>162</v>
      </c>
      <c r="E1557" s="127">
        <v>3</v>
      </c>
      <c r="F1557" s="127">
        <v>1</v>
      </c>
      <c r="G1557" s="130" t="s">
        <v>80</v>
      </c>
    </row>
    <row r="1558" spans="2:7" x14ac:dyDescent="0.25">
      <c r="B1558" s="126" t="s">
        <v>163</v>
      </c>
      <c r="C1558" s="127">
        <v>3</v>
      </c>
      <c r="D1558" s="127" t="s">
        <v>87</v>
      </c>
      <c r="E1558" s="127">
        <v>3</v>
      </c>
      <c r="F1558" s="127">
        <v>2</v>
      </c>
      <c r="G1558" s="130" t="s">
        <v>92</v>
      </c>
    </row>
    <row r="1559" spans="2:7" x14ac:dyDescent="0.25">
      <c r="B1559" s="126" t="s">
        <v>163</v>
      </c>
      <c r="C1559" s="127">
        <v>3</v>
      </c>
      <c r="D1559" s="127" t="s">
        <v>84</v>
      </c>
      <c r="E1559" s="127">
        <v>2</v>
      </c>
      <c r="F1559" s="127">
        <v>1</v>
      </c>
      <c r="G1559" s="130" t="s">
        <v>89</v>
      </c>
    </row>
    <row r="1560" spans="2:7" x14ac:dyDescent="0.25">
      <c r="B1560" s="126" t="s">
        <v>163</v>
      </c>
      <c r="C1560" s="127">
        <v>4</v>
      </c>
      <c r="D1560" s="127" t="s">
        <v>89</v>
      </c>
      <c r="E1560" s="127">
        <v>1</v>
      </c>
      <c r="F1560" s="127">
        <v>1</v>
      </c>
      <c r="G1560" s="130" t="s">
        <v>85</v>
      </c>
    </row>
    <row r="1561" spans="2:7" x14ac:dyDescent="0.25">
      <c r="B1561" s="126" t="s">
        <v>163</v>
      </c>
      <c r="C1561" s="127">
        <v>4</v>
      </c>
      <c r="D1561" s="127" t="s">
        <v>80</v>
      </c>
      <c r="E1561" s="127">
        <v>4</v>
      </c>
      <c r="F1561" s="127">
        <v>0</v>
      </c>
      <c r="G1561" s="130" t="s">
        <v>83</v>
      </c>
    </row>
    <row r="1562" spans="2:7" x14ac:dyDescent="0.25">
      <c r="B1562" s="126" t="s">
        <v>163</v>
      </c>
      <c r="C1562" s="127">
        <v>4</v>
      </c>
      <c r="D1562" s="127" t="s">
        <v>90</v>
      </c>
      <c r="E1562" s="127">
        <v>2</v>
      </c>
      <c r="F1562" s="127">
        <v>1</v>
      </c>
      <c r="G1562" s="130" t="s">
        <v>88</v>
      </c>
    </row>
    <row r="1563" spans="2:7" x14ac:dyDescent="0.25">
      <c r="B1563" s="126" t="s">
        <v>163</v>
      </c>
      <c r="C1563" s="127">
        <v>4</v>
      </c>
      <c r="D1563" s="127" t="s">
        <v>92</v>
      </c>
      <c r="E1563" s="127">
        <v>2</v>
      </c>
      <c r="F1563" s="127">
        <v>1</v>
      </c>
      <c r="G1563" s="130" t="s">
        <v>84</v>
      </c>
    </row>
    <row r="1564" spans="2:7" x14ac:dyDescent="0.25">
      <c r="B1564" s="126" t="s">
        <v>163</v>
      </c>
      <c r="C1564" s="127">
        <v>4</v>
      </c>
      <c r="D1564" s="127" t="s">
        <v>161</v>
      </c>
      <c r="E1564" s="127">
        <v>0</v>
      </c>
      <c r="F1564" s="127">
        <v>1</v>
      </c>
      <c r="G1564" s="130" t="s">
        <v>82</v>
      </c>
    </row>
    <row r="1565" spans="2:7" x14ac:dyDescent="0.25">
      <c r="B1565" s="126" t="s">
        <v>163</v>
      </c>
      <c r="C1565" s="127">
        <v>4</v>
      </c>
      <c r="D1565" s="127" t="s">
        <v>162</v>
      </c>
      <c r="E1565" s="127">
        <v>1</v>
      </c>
      <c r="F1565" s="127">
        <v>2</v>
      </c>
      <c r="G1565" s="130" t="s">
        <v>87</v>
      </c>
    </row>
    <row r="1566" spans="2:7" x14ac:dyDescent="0.25">
      <c r="B1566" s="126" t="s">
        <v>163</v>
      </c>
      <c r="C1566" s="127">
        <v>4</v>
      </c>
      <c r="D1566" s="127" t="s">
        <v>81</v>
      </c>
      <c r="E1566" s="127">
        <v>1</v>
      </c>
      <c r="F1566" s="127">
        <v>1</v>
      </c>
      <c r="G1566" s="130" t="s">
        <v>79</v>
      </c>
    </row>
    <row r="1567" spans="2:7" x14ac:dyDescent="0.25">
      <c r="B1567" s="126" t="s">
        <v>163</v>
      </c>
      <c r="C1567" s="127">
        <v>4</v>
      </c>
      <c r="D1567" s="127" t="s">
        <v>86</v>
      </c>
      <c r="E1567" s="127">
        <v>0</v>
      </c>
      <c r="F1567" s="127">
        <v>3</v>
      </c>
      <c r="G1567" s="130" t="s">
        <v>91</v>
      </c>
    </row>
    <row r="1568" spans="2:7" x14ac:dyDescent="0.25">
      <c r="B1568" s="126" t="s">
        <v>163</v>
      </c>
      <c r="C1568" s="127">
        <v>4</v>
      </c>
      <c r="D1568" s="127" t="s">
        <v>148</v>
      </c>
      <c r="E1568" s="127">
        <v>1</v>
      </c>
      <c r="F1568" s="127">
        <v>5</v>
      </c>
      <c r="G1568" s="130" t="s">
        <v>93</v>
      </c>
    </row>
    <row r="1569" spans="2:7" x14ac:dyDescent="0.25">
      <c r="B1569" s="126" t="s">
        <v>163</v>
      </c>
      <c r="C1569" s="127">
        <v>5</v>
      </c>
      <c r="D1569" s="127" t="s">
        <v>93</v>
      </c>
      <c r="E1569" s="127">
        <v>2</v>
      </c>
      <c r="F1569" s="127">
        <v>1</v>
      </c>
      <c r="G1569" s="130" t="s">
        <v>90</v>
      </c>
    </row>
    <row r="1570" spans="2:7" x14ac:dyDescent="0.25">
      <c r="B1570" s="126" t="s">
        <v>163</v>
      </c>
      <c r="C1570" s="127">
        <v>5</v>
      </c>
      <c r="D1570" s="127" t="s">
        <v>79</v>
      </c>
      <c r="E1570" s="127">
        <v>4</v>
      </c>
      <c r="F1570" s="127">
        <v>0</v>
      </c>
      <c r="G1570" s="130" t="s">
        <v>161</v>
      </c>
    </row>
    <row r="1571" spans="2:7" x14ac:dyDescent="0.25">
      <c r="B1571" s="126" t="s">
        <v>163</v>
      </c>
      <c r="C1571" s="127">
        <v>5</v>
      </c>
      <c r="D1571" s="127" t="s">
        <v>83</v>
      </c>
      <c r="E1571" s="127">
        <v>2</v>
      </c>
      <c r="F1571" s="127">
        <v>0</v>
      </c>
      <c r="G1571" s="130" t="s">
        <v>162</v>
      </c>
    </row>
    <row r="1572" spans="2:7" x14ac:dyDescent="0.25">
      <c r="B1572" s="126" t="s">
        <v>163</v>
      </c>
      <c r="C1572" s="127">
        <v>5</v>
      </c>
      <c r="D1572" s="127" t="s">
        <v>88</v>
      </c>
      <c r="E1572" s="127">
        <v>2</v>
      </c>
      <c r="F1572" s="127">
        <v>1</v>
      </c>
      <c r="G1572" s="130" t="s">
        <v>148</v>
      </c>
    </row>
    <row r="1573" spans="2:7" x14ac:dyDescent="0.25">
      <c r="B1573" s="126" t="s">
        <v>163</v>
      </c>
      <c r="C1573" s="127">
        <v>5</v>
      </c>
      <c r="D1573" s="127" t="s">
        <v>91</v>
      </c>
      <c r="E1573" s="127">
        <v>1</v>
      </c>
      <c r="F1573" s="127">
        <v>1</v>
      </c>
      <c r="G1573" s="130" t="s">
        <v>92</v>
      </c>
    </row>
    <row r="1574" spans="2:7" x14ac:dyDescent="0.25">
      <c r="B1574" s="126" t="s">
        <v>163</v>
      </c>
      <c r="C1574" s="127">
        <v>5</v>
      </c>
      <c r="D1574" s="127" t="s">
        <v>87</v>
      </c>
      <c r="E1574" s="127">
        <v>0</v>
      </c>
      <c r="F1574" s="127">
        <v>3</v>
      </c>
      <c r="G1574" s="130" t="s">
        <v>81</v>
      </c>
    </row>
    <row r="1575" spans="2:7" x14ac:dyDescent="0.25">
      <c r="B1575" s="126" t="s">
        <v>163</v>
      </c>
      <c r="C1575" s="127">
        <v>5</v>
      </c>
      <c r="D1575" s="127" t="s">
        <v>82</v>
      </c>
      <c r="E1575" s="127">
        <v>2</v>
      </c>
      <c r="F1575" s="127">
        <v>1</v>
      </c>
      <c r="G1575" s="130" t="s">
        <v>89</v>
      </c>
    </row>
    <row r="1576" spans="2:7" x14ac:dyDescent="0.25">
      <c r="B1576" s="126" t="s">
        <v>163</v>
      </c>
      <c r="C1576" s="127">
        <v>5</v>
      </c>
      <c r="D1576" s="127" t="s">
        <v>84</v>
      </c>
      <c r="E1576" s="127">
        <v>2</v>
      </c>
      <c r="F1576" s="127">
        <v>2</v>
      </c>
      <c r="G1576" s="130" t="s">
        <v>80</v>
      </c>
    </row>
    <row r="1577" spans="2:7" x14ac:dyDescent="0.25">
      <c r="B1577" s="126" t="s">
        <v>163</v>
      </c>
      <c r="C1577" s="127">
        <v>5</v>
      </c>
      <c r="D1577" s="127" t="s">
        <v>85</v>
      </c>
      <c r="E1577" s="127">
        <v>1</v>
      </c>
      <c r="F1577" s="127">
        <v>1</v>
      </c>
      <c r="G1577" s="130" t="s">
        <v>86</v>
      </c>
    </row>
    <row r="1578" spans="2:7" x14ac:dyDescent="0.25">
      <c r="B1578" s="126" t="s">
        <v>163</v>
      </c>
      <c r="C1578" s="127">
        <v>6</v>
      </c>
      <c r="D1578" s="127" t="s">
        <v>162</v>
      </c>
      <c r="E1578" s="127">
        <v>1</v>
      </c>
      <c r="F1578" s="127">
        <v>2</v>
      </c>
      <c r="G1578" s="130" t="s">
        <v>84</v>
      </c>
    </row>
    <row r="1579" spans="2:7" x14ac:dyDescent="0.25">
      <c r="B1579" s="126" t="s">
        <v>163</v>
      </c>
      <c r="C1579" s="127">
        <v>6</v>
      </c>
      <c r="D1579" s="127" t="s">
        <v>81</v>
      </c>
      <c r="E1579" s="127">
        <v>1</v>
      </c>
      <c r="F1579" s="127">
        <v>3</v>
      </c>
      <c r="G1579" s="130" t="s">
        <v>93</v>
      </c>
    </row>
    <row r="1580" spans="2:7" x14ac:dyDescent="0.25">
      <c r="B1580" s="126" t="s">
        <v>163</v>
      </c>
      <c r="C1580" s="127">
        <v>6</v>
      </c>
      <c r="D1580" s="127" t="s">
        <v>86</v>
      </c>
      <c r="E1580" s="127">
        <v>0</v>
      </c>
      <c r="F1580" s="127">
        <v>3</v>
      </c>
      <c r="G1580" s="130" t="s">
        <v>82</v>
      </c>
    </row>
    <row r="1581" spans="2:7" x14ac:dyDescent="0.25">
      <c r="B1581" s="126" t="s">
        <v>163</v>
      </c>
      <c r="C1581" s="127">
        <v>6</v>
      </c>
      <c r="D1581" s="127" t="s">
        <v>90</v>
      </c>
      <c r="E1581" s="127">
        <v>0</v>
      </c>
      <c r="F1581" s="127">
        <v>1</v>
      </c>
      <c r="G1581" s="130" t="s">
        <v>85</v>
      </c>
    </row>
    <row r="1582" spans="2:7" x14ac:dyDescent="0.25">
      <c r="B1582" s="126" t="s">
        <v>163</v>
      </c>
      <c r="C1582" s="127">
        <v>6</v>
      </c>
      <c r="D1582" s="127" t="s">
        <v>92</v>
      </c>
      <c r="E1582" s="127">
        <v>0</v>
      </c>
      <c r="F1582" s="127">
        <v>3</v>
      </c>
      <c r="G1582" s="130" t="s">
        <v>83</v>
      </c>
    </row>
    <row r="1583" spans="2:7" x14ac:dyDescent="0.25">
      <c r="B1583" s="126" t="s">
        <v>163</v>
      </c>
      <c r="C1583" s="127">
        <v>6</v>
      </c>
      <c r="D1583" s="127" t="s">
        <v>148</v>
      </c>
      <c r="E1583" s="127">
        <v>2</v>
      </c>
      <c r="F1583" s="127">
        <v>3</v>
      </c>
      <c r="G1583" s="130" t="s">
        <v>79</v>
      </c>
    </row>
    <row r="1584" spans="2:7" x14ac:dyDescent="0.25">
      <c r="B1584" s="126" t="s">
        <v>163</v>
      </c>
      <c r="C1584" s="127">
        <v>6</v>
      </c>
      <c r="D1584" s="127" t="s">
        <v>80</v>
      </c>
      <c r="E1584" s="127">
        <v>2</v>
      </c>
      <c r="F1584" s="127">
        <v>2</v>
      </c>
      <c r="G1584" s="130" t="s">
        <v>87</v>
      </c>
    </row>
    <row r="1585" spans="2:7" x14ac:dyDescent="0.25">
      <c r="B1585" s="126" t="s">
        <v>163</v>
      </c>
      <c r="C1585" s="127">
        <v>6</v>
      </c>
      <c r="D1585" s="127" t="s">
        <v>89</v>
      </c>
      <c r="E1585" s="127">
        <v>1</v>
      </c>
      <c r="F1585" s="127">
        <v>2</v>
      </c>
      <c r="G1585" s="130" t="s">
        <v>91</v>
      </c>
    </row>
    <row r="1586" spans="2:7" x14ac:dyDescent="0.25">
      <c r="B1586" s="126" t="s">
        <v>163</v>
      </c>
      <c r="C1586" s="127">
        <v>6</v>
      </c>
      <c r="D1586" s="127" t="s">
        <v>161</v>
      </c>
      <c r="E1586" s="127">
        <v>0</v>
      </c>
      <c r="F1586" s="127">
        <v>4</v>
      </c>
      <c r="G1586" s="130" t="s">
        <v>88</v>
      </c>
    </row>
    <row r="1587" spans="2:7" x14ac:dyDescent="0.25">
      <c r="B1587" s="126" t="s">
        <v>163</v>
      </c>
      <c r="C1587" s="127">
        <v>7</v>
      </c>
      <c r="D1587" s="127" t="s">
        <v>79</v>
      </c>
      <c r="E1587" s="127">
        <v>1</v>
      </c>
      <c r="F1587" s="127">
        <v>2</v>
      </c>
      <c r="G1587" s="130" t="s">
        <v>86</v>
      </c>
    </row>
    <row r="1588" spans="2:7" x14ac:dyDescent="0.25">
      <c r="B1588" s="126" t="s">
        <v>163</v>
      </c>
      <c r="C1588" s="127">
        <v>7</v>
      </c>
      <c r="D1588" s="127" t="s">
        <v>83</v>
      </c>
      <c r="E1588" s="127">
        <v>1</v>
      </c>
      <c r="F1588" s="127">
        <v>1</v>
      </c>
      <c r="G1588" s="130" t="s">
        <v>81</v>
      </c>
    </row>
    <row r="1589" spans="2:7" x14ac:dyDescent="0.25">
      <c r="B1589" s="126" t="s">
        <v>163</v>
      </c>
      <c r="C1589" s="127">
        <v>7</v>
      </c>
      <c r="D1589" s="127" t="s">
        <v>82</v>
      </c>
      <c r="E1589" s="127">
        <v>5</v>
      </c>
      <c r="F1589" s="127">
        <v>1</v>
      </c>
      <c r="G1589" s="130" t="s">
        <v>92</v>
      </c>
    </row>
    <row r="1590" spans="2:7" x14ac:dyDescent="0.25">
      <c r="B1590" s="126" t="s">
        <v>163</v>
      </c>
      <c r="C1590" s="127">
        <v>7</v>
      </c>
      <c r="D1590" s="127" t="s">
        <v>85</v>
      </c>
      <c r="E1590" s="127">
        <v>1</v>
      </c>
      <c r="F1590" s="127">
        <v>0</v>
      </c>
      <c r="G1590" s="130" t="s">
        <v>162</v>
      </c>
    </row>
    <row r="1591" spans="2:7" x14ac:dyDescent="0.25">
      <c r="B1591" s="126" t="s">
        <v>163</v>
      </c>
      <c r="C1591" s="127">
        <v>7</v>
      </c>
      <c r="D1591" s="127" t="s">
        <v>84</v>
      </c>
      <c r="E1591" s="127">
        <v>2</v>
      </c>
      <c r="F1591" s="127">
        <v>2</v>
      </c>
      <c r="G1591" s="130" t="s">
        <v>87</v>
      </c>
    </row>
    <row r="1592" spans="2:7" x14ac:dyDescent="0.25">
      <c r="B1592" s="126" t="s">
        <v>163</v>
      </c>
      <c r="C1592" s="127">
        <v>7</v>
      </c>
      <c r="D1592" s="127" t="s">
        <v>88</v>
      </c>
      <c r="E1592" s="127">
        <v>3</v>
      </c>
      <c r="F1592" s="127">
        <v>1</v>
      </c>
      <c r="G1592" s="130" t="s">
        <v>89</v>
      </c>
    </row>
    <row r="1593" spans="2:7" x14ac:dyDescent="0.25">
      <c r="B1593" s="126" t="s">
        <v>163</v>
      </c>
      <c r="C1593" s="127">
        <v>7</v>
      </c>
      <c r="D1593" s="127" t="s">
        <v>91</v>
      </c>
      <c r="E1593" s="127">
        <v>2</v>
      </c>
      <c r="F1593" s="127">
        <v>2</v>
      </c>
      <c r="G1593" s="130" t="s">
        <v>80</v>
      </c>
    </row>
    <row r="1594" spans="2:7" x14ac:dyDescent="0.25">
      <c r="B1594" s="126" t="s">
        <v>163</v>
      </c>
      <c r="C1594" s="127">
        <v>7</v>
      </c>
      <c r="D1594" s="127" t="s">
        <v>93</v>
      </c>
      <c r="E1594" s="127">
        <v>1</v>
      </c>
      <c r="F1594" s="127">
        <v>1</v>
      </c>
      <c r="G1594" s="130" t="s">
        <v>161</v>
      </c>
    </row>
    <row r="1595" spans="2:7" x14ac:dyDescent="0.25">
      <c r="B1595" s="126" t="s">
        <v>163</v>
      </c>
      <c r="C1595" s="127">
        <v>7</v>
      </c>
      <c r="D1595" s="127" t="s">
        <v>148</v>
      </c>
      <c r="E1595" s="127">
        <v>1</v>
      </c>
      <c r="F1595" s="127">
        <v>2</v>
      </c>
      <c r="G1595" s="130" t="s">
        <v>90</v>
      </c>
    </row>
    <row r="1596" spans="2:7" x14ac:dyDescent="0.25">
      <c r="B1596" s="126" t="s">
        <v>163</v>
      </c>
      <c r="C1596" s="127">
        <v>8</v>
      </c>
      <c r="D1596" s="127" t="s">
        <v>80</v>
      </c>
      <c r="E1596" s="127">
        <v>1</v>
      </c>
      <c r="F1596" s="127">
        <v>0</v>
      </c>
      <c r="G1596" s="130" t="s">
        <v>82</v>
      </c>
    </row>
    <row r="1597" spans="2:7" x14ac:dyDescent="0.25">
      <c r="B1597" s="126" t="s">
        <v>163</v>
      </c>
      <c r="C1597" s="127">
        <v>8</v>
      </c>
      <c r="D1597" s="127" t="s">
        <v>81</v>
      </c>
      <c r="E1597" s="127">
        <v>1</v>
      </c>
      <c r="F1597" s="127">
        <v>1</v>
      </c>
      <c r="G1597" s="130" t="s">
        <v>85</v>
      </c>
    </row>
    <row r="1598" spans="2:7" x14ac:dyDescent="0.25">
      <c r="B1598" s="126" t="s">
        <v>163</v>
      </c>
      <c r="C1598" s="127">
        <v>8</v>
      </c>
      <c r="D1598" s="127" t="s">
        <v>84</v>
      </c>
      <c r="E1598" s="127">
        <v>3</v>
      </c>
      <c r="F1598" s="127">
        <v>0</v>
      </c>
      <c r="G1598" s="130" t="s">
        <v>83</v>
      </c>
    </row>
    <row r="1599" spans="2:7" x14ac:dyDescent="0.25">
      <c r="B1599" s="126" t="s">
        <v>163</v>
      </c>
      <c r="C1599" s="127">
        <v>8</v>
      </c>
      <c r="D1599" s="127" t="s">
        <v>87</v>
      </c>
      <c r="E1599" s="127">
        <v>1</v>
      </c>
      <c r="F1599" s="127">
        <v>1</v>
      </c>
      <c r="G1599" s="130" t="s">
        <v>88</v>
      </c>
    </row>
    <row r="1600" spans="2:7" x14ac:dyDescent="0.25">
      <c r="B1600" s="126" t="s">
        <v>163</v>
      </c>
      <c r="C1600" s="127">
        <v>8</v>
      </c>
      <c r="D1600" s="127" t="s">
        <v>86</v>
      </c>
      <c r="E1600" s="127">
        <v>2</v>
      </c>
      <c r="F1600" s="127">
        <v>0</v>
      </c>
      <c r="G1600" s="130" t="s">
        <v>93</v>
      </c>
    </row>
    <row r="1601" spans="2:7" x14ac:dyDescent="0.25">
      <c r="B1601" s="126" t="s">
        <v>163</v>
      </c>
      <c r="C1601" s="127">
        <v>8</v>
      </c>
      <c r="D1601" s="127" t="s">
        <v>89</v>
      </c>
      <c r="E1601" s="127">
        <v>1</v>
      </c>
      <c r="F1601" s="127">
        <v>0</v>
      </c>
      <c r="G1601" s="130" t="s">
        <v>90</v>
      </c>
    </row>
    <row r="1602" spans="2:7" x14ac:dyDescent="0.25">
      <c r="B1602" s="126" t="s">
        <v>163</v>
      </c>
      <c r="C1602" s="127">
        <v>8</v>
      </c>
      <c r="D1602" s="127" t="s">
        <v>92</v>
      </c>
      <c r="E1602" s="127">
        <v>2</v>
      </c>
      <c r="F1602" s="127">
        <v>2</v>
      </c>
      <c r="G1602" s="130" t="s">
        <v>79</v>
      </c>
    </row>
    <row r="1603" spans="2:7" x14ac:dyDescent="0.25">
      <c r="B1603" s="126" t="s">
        <v>163</v>
      </c>
      <c r="C1603" s="127">
        <v>8</v>
      </c>
      <c r="D1603" s="127" t="s">
        <v>161</v>
      </c>
      <c r="E1603" s="127">
        <v>3</v>
      </c>
      <c r="F1603" s="127">
        <v>0</v>
      </c>
      <c r="G1603" s="130" t="s">
        <v>148</v>
      </c>
    </row>
    <row r="1604" spans="2:7" x14ac:dyDescent="0.25">
      <c r="B1604" s="126" t="s">
        <v>163</v>
      </c>
      <c r="C1604" s="127">
        <v>8</v>
      </c>
      <c r="D1604" s="127" t="s">
        <v>162</v>
      </c>
      <c r="E1604" s="127">
        <v>2</v>
      </c>
      <c r="F1604" s="127">
        <v>0</v>
      </c>
      <c r="G1604" s="130" t="s">
        <v>91</v>
      </c>
    </row>
    <row r="1605" spans="2:7" x14ac:dyDescent="0.25">
      <c r="B1605" s="126" t="s">
        <v>163</v>
      </c>
      <c r="C1605" s="127">
        <v>9</v>
      </c>
      <c r="D1605" s="127" t="s">
        <v>79</v>
      </c>
      <c r="E1605" s="127">
        <v>2</v>
      </c>
      <c r="F1605" s="127">
        <v>1</v>
      </c>
      <c r="G1605" s="130" t="s">
        <v>162</v>
      </c>
    </row>
    <row r="1606" spans="2:7" x14ac:dyDescent="0.25">
      <c r="B1606" s="126" t="s">
        <v>163</v>
      </c>
      <c r="C1606" s="127">
        <v>9</v>
      </c>
      <c r="D1606" s="127" t="s">
        <v>83</v>
      </c>
      <c r="E1606" s="127">
        <v>2</v>
      </c>
      <c r="F1606" s="127">
        <v>2</v>
      </c>
      <c r="G1606" s="130" t="s">
        <v>87</v>
      </c>
    </row>
    <row r="1607" spans="2:7" x14ac:dyDescent="0.25">
      <c r="B1607" s="126" t="s">
        <v>163</v>
      </c>
      <c r="C1607" s="127">
        <v>9</v>
      </c>
      <c r="D1607" s="127" t="s">
        <v>82</v>
      </c>
      <c r="E1607" s="127">
        <v>4</v>
      </c>
      <c r="F1607" s="127">
        <v>2</v>
      </c>
      <c r="G1607" s="130" t="s">
        <v>84</v>
      </c>
    </row>
    <row r="1608" spans="2:7" x14ac:dyDescent="0.25">
      <c r="B1608" s="126" t="s">
        <v>163</v>
      </c>
      <c r="C1608" s="127">
        <v>9</v>
      </c>
      <c r="D1608" s="127" t="s">
        <v>85</v>
      </c>
      <c r="E1608" s="127">
        <v>0</v>
      </c>
      <c r="F1608" s="127">
        <v>0</v>
      </c>
      <c r="G1608" s="130" t="s">
        <v>92</v>
      </c>
    </row>
    <row r="1609" spans="2:7" x14ac:dyDescent="0.25">
      <c r="B1609" s="126" t="s">
        <v>163</v>
      </c>
      <c r="C1609" s="127">
        <v>9</v>
      </c>
      <c r="D1609" s="127" t="s">
        <v>88</v>
      </c>
      <c r="E1609" s="127">
        <v>2</v>
      </c>
      <c r="F1609" s="127">
        <v>3</v>
      </c>
      <c r="G1609" s="130" t="s">
        <v>86</v>
      </c>
    </row>
    <row r="1610" spans="2:7" x14ac:dyDescent="0.25">
      <c r="B1610" s="126" t="s">
        <v>163</v>
      </c>
      <c r="C1610" s="127">
        <v>9</v>
      </c>
      <c r="D1610" s="127" t="s">
        <v>90</v>
      </c>
      <c r="E1610" s="127">
        <v>3</v>
      </c>
      <c r="F1610" s="127">
        <v>1</v>
      </c>
      <c r="G1610" s="130" t="s">
        <v>161</v>
      </c>
    </row>
    <row r="1611" spans="2:7" x14ac:dyDescent="0.25">
      <c r="B1611" s="126" t="s">
        <v>163</v>
      </c>
      <c r="C1611" s="127">
        <v>9</v>
      </c>
      <c r="D1611" s="127" t="s">
        <v>91</v>
      </c>
      <c r="E1611" s="127">
        <v>2</v>
      </c>
      <c r="F1611" s="127">
        <v>1</v>
      </c>
      <c r="G1611" s="130" t="s">
        <v>81</v>
      </c>
    </row>
    <row r="1612" spans="2:7" x14ac:dyDescent="0.25">
      <c r="B1612" s="126" t="s">
        <v>163</v>
      </c>
      <c r="C1612" s="127">
        <v>9</v>
      </c>
      <c r="D1612" s="127" t="s">
        <v>93</v>
      </c>
      <c r="E1612" s="127">
        <v>0</v>
      </c>
      <c r="F1612" s="127">
        <v>0</v>
      </c>
      <c r="G1612" s="130" t="s">
        <v>80</v>
      </c>
    </row>
    <row r="1613" spans="2:7" x14ac:dyDescent="0.25">
      <c r="B1613" s="126" t="s">
        <v>163</v>
      </c>
      <c r="C1613" s="127">
        <v>9</v>
      </c>
      <c r="D1613" s="127" t="s">
        <v>148</v>
      </c>
      <c r="E1613" s="127">
        <v>2</v>
      </c>
      <c r="F1613" s="127">
        <v>0</v>
      </c>
      <c r="G1613" s="130" t="s">
        <v>89</v>
      </c>
    </row>
    <row r="1614" spans="2:7" x14ac:dyDescent="0.25">
      <c r="B1614" s="126" t="s">
        <v>163</v>
      </c>
      <c r="C1614" s="127">
        <v>10</v>
      </c>
      <c r="D1614" s="127" t="s">
        <v>80</v>
      </c>
      <c r="E1614" s="127">
        <v>3</v>
      </c>
      <c r="F1614" s="127">
        <v>0</v>
      </c>
      <c r="G1614" s="130" t="s">
        <v>85</v>
      </c>
    </row>
    <row r="1615" spans="2:7" x14ac:dyDescent="0.25">
      <c r="B1615" s="126" t="s">
        <v>163</v>
      </c>
      <c r="C1615" s="127">
        <v>10</v>
      </c>
      <c r="D1615" s="127" t="s">
        <v>81</v>
      </c>
      <c r="E1615" s="127">
        <v>8</v>
      </c>
      <c r="F1615" s="127">
        <v>0</v>
      </c>
      <c r="G1615" s="130" t="s">
        <v>90</v>
      </c>
    </row>
    <row r="1616" spans="2:7" x14ac:dyDescent="0.25">
      <c r="B1616" s="126" t="s">
        <v>163</v>
      </c>
      <c r="C1616" s="127">
        <v>10</v>
      </c>
      <c r="D1616" s="127" t="s">
        <v>83</v>
      </c>
      <c r="E1616" s="127">
        <v>1</v>
      </c>
      <c r="F1616" s="127">
        <v>2</v>
      </c>
      <c r="G1616" s="130" t="s">
        <v>82</v>
      </c>
    </row>
    <row r="1617" spans="2:7" x14ac:dyDescent="0.25">
      <c r="B1617" s="126" t="s">
        <v>163</v>
      </c>
      <c r="C1617" s="127">
        <v>10</v>
      </c>
      <c r="D1617" s="127" t="s">
        <v>84</v>
      </c>
      <c r="E1617" s="127">
        <v>5</v>
      </c>
      <c r="F1617" s="127">
        <v>1</v>
      </c>
      <c r="G1617" s="130" t="s">
        <v>79</v>
      </c>
    </row>
    <row r="1618" spans="2:7" x14ac:dyDescent="0.25">
      <c r="B1618" s="126" t="s">
        <v>163</v>
      </c>
      <c r="C1618" s="127">
        <v>10</v>
      </c>
      <c r="D1618" s="127" t="s">
        <v>87</v>
      </c>
      <c r="E1618" s="127">
        <v>2</v>
      </c>
      <c r="F1618" s="127">
        <v>2</v>
      </c>
      <c r="G1618" s="130" t="s">
        <v>91</v>
      </c>
    </row>
    <row r="1619" spans="2:7" x14ac:dyDescent="0.25">
      <c r="B1619" s="126" t="s">
        <v>163</v>
      </c>
      <c r="C1619" s="127">
        <v>10</v>
      </c>
      <c r="D1619" s="127" t="s">
        <v>86</v>
      </c>
      <c r="E1619" s="127">
        <v>3</v>
      </c>
      <c r="F1619" s="127">
        <v>0</v>
      </c>
      <c r="G1619" s="130" t="s">
        <v>148</v>
      </c>
    </row>
    <row r="1620" spans="2:7" x14ac:dyDescent="0.25">
      <c r="B1620" s="126" t="s">
        <v>163</v>
      </c>
      <c r="C1620" s="127">
        <v>10</v>
      </c>
      <c r="D1620" s="127" t="s">
        <v>89</v>
      </c>
      <c r="E1620" s="127">
        <v>2</v>
      </c>
      <c r="F1620" s="127">
        <v>0</v>
      </c>
      <c r="G1620" s="130" t="s">
        <v>161</v>
      </c>
    </row>
    <row r="1621" spans="2:7" x14ac:dyDescent="0.25">
      <c r="B1621" s="126" t="s">
        <v>163</v>
      </c>
      <c r="C1621" s="127">
        <v>10</v>
      </c>
      <c r="D1621" s="127" t="s">
        <v>92</v>
      </c>
      <c r="E1621" s="127">
        <v>2</v>
      </c>
      <c r="F1621" s="127">
        <v>3</v>
      </c>
      <c r="G1621" s="130" t="s">
        <v>93</v>
      </c>
    </row>
    <row r="1622" spans="2:7" x14ac:dyDescent="0.25">
      <c r="B1622" s="126" t="s">
        <v>163</v>
      </c>
      <c r="C1622" s="127">
        <v>10</v>
      </c>
      <c r="D1622" s="127" t="s">
        <v>162</v>
      </c>
      <c r="E1622" s="127">
        <v>1</v>
      </c>
      <c r="F1622" s="127">
        <v>0</v>
      </c>
      <c r="G1622" s="130" t="s">
        <v>88</v>
      </c>
    </row>
    <row r="1623" spans="2:7" x14ac:dyDescent="0.25">
      <c r="B1623" s="126" t="s">
        <v>163</v>
      </c>
      <c r="C1623" s="127">
        <v>11</v>
      </c>
      <c r="D1623" s="127" t="s">
        <v>79</v>
      </c>
      <c r="E1623" s="127">
        <v>4</v>
      </c>
      <c r="F1623" s="127">
        <v>0</v>
      </c>
      <c r="G1623" s="130" t="s">
        <v>80</v>
      </c>
    </row>
    <row r="1624" spans="2:7" x14ac:dyDescent="0.25">
      <c r="B1624" s="126" t="s">
        <v>163</v>
      </c>
      <c r="C1624" s="127">
        <v>11</v>
      </c>
      <c r="D1624" s="127" t="s">
        <v>82</v>
      </c>
      <c r="E1624" s="127">
        <v>3</v>
      </c>
      <c r="F1624" s="127">
        <v>1</v>
      </c>
      <c r="G1624" s="130" t="s">
        <v>87</v>
      </c>
    </row>
    <row r="1625" spans="2:7" x14ac:dyDescent="0.25">
      <c r="B1625" s="126" t="s">
        <v>163</v>
      </c>
      <c r="C1625" s="127">
        <v>11</v>
      </c>
      <c r="D1625" s="127" t="s">
        <v>85</v>
      </c>
      <c r="E1625" s="127">
        <v>0</v>
      </c>
      <c r="F1625" s="127">
        <v>2</v>
      </c>
      <c r="G1625" s="130" t="s">
        <v>83</v>
      </c>
    </row>
    <row r="1626" spans="2:7" x14ac:dyDescent="0.25">
      <c r="B1626" s="126" t="s">
        <v>163</v>
      </c>
      <c r="C1626" s="127">
        <v>11</v>
      </c>
      <c r="D1626" s="127" t="s">
        <v>88</v>
      </c>
      <c r="E1626" s="127">
        <v>2</v>
      </c>
      <c r="F1626" s="127">
        <v>4</v>
      </c>
      <c r="G1626" s="130" t="s">
        <v>81</v>
      </c>
    </row>
    <row r="1627" spans="2:7" x14ac:dyDescent="0.25">
      <c r="B1627" s="126" t="s">
        <v>163</v>
      </c>
      <c r="C1627" s="127">
        <v>11</v>
      </c>
      <c r="D1627" s="127" t="s">
        <v>90</v>
      </c>
      <c r="E1627" s="127">
        <v>2</v>
      </c>
      <c r="F1627" s="127">
        <v>3</v>
      </c>
      <c r="G1627" s="130" t="s">
        <v>162</v>
      </c>
    </row>
    <row r="1628" spans="2:7" x14ac:dyDescent="0.25">
      <c r="B1628" s="126" t="s">
        <v>163</v>
      </c>
      <c r="C1628" s="127">
        <v>11</v>
      </c>
      <c r="D1628" s="127" t="s">
        <v>91</v>
      </c>
      <c r="E1628" s="127">
        <v>1</v>
      </c>
      <c r="F1628" s="127">
        <v>0</v>
      </c>
      <c r="G1628" s="130" t="s">
        <v>84</v>
      </c>
    </row>
    <row r="1629" spans="2:7" x14ac:dyDescent="0.25">
      <c r="B1629" s="126" t="s">
        <v>163</v>
      </c>
      <c r="C1629" s="127">
        <v>11</v>
      </c>
      <c r="D1629" s="127" t="s">
        <v>93</v>
      </c>
      <c r="E1629" s="127">
        <v>3</v>
      </c>
      <c r="F1629" s="127">
        <v>3</v>
      </c>
      <c r="G1629" s="130" t="s">
        <v>89</v>
      </c>
    </row>
    <row r="1630" spans="2:7" x14ac:dyDescent="0.25">
      <c r="B1630" s="126" t="s">
        <v>163</v>
      </c>
      <c r="C1630" s="127">
        <v>11</v>
      </c>
      <c r="D1630" s="127" t="s">
        <v>161</v>
      </c>
      <c r="E1630" s="127">
        <v>1</v>
      </c>
      <c r="F1630" s="127">
        <v>2</v>
      </c>
      <c r="G1630" s="130" t="s">
        <v>86</v>
      </c>
    </row>
    <row r="1631" spans="2:7" x14ac:dyDescent="0.25">
      <c r="B1631" s="126" t="s">
        <v>163</v>
      </c>
      <c r="C1631" s="127">
        <v>11</v>
      </c>
      <c r="D1631" s="127" t="s">
        <v>148</v>
      </c>
      <c r="E1631" s="127">
        <v>0</v>
      </c>
      <c r="F1631" s="127">
        <v>1</v>
      </c>
      <c r="G1631" s="130" t="s">
        <v>92</v>
      </c>
    </row>
    <row r="1632" spans="2:7" x14ac:dyDescent="0.25">
      <c r="B1632" s="126" t="s">
        <v>163</v>
      </c>
      <c r="C1632" s="127">
        <v>12</v>
      </c>
      <c r="D1632" s="127" t="s">
        <v>80</v>
      </c>
      <c r="E1632" s="127">
        <v>3</v>
      </c>
      <c r="F1632" s="127">
        <v>3</v>
      </c>
      <c r="G1632" s="130" t="s">
        <v>148</v>
      </c>
    </row>
    <row r="1633" spans="2:7" x14ac:dyDescent="0.25">
      <c r="B1633" s="126" t="s">
        <v>163</v>
      </c>
      <c r="C1633" s="127">
        <v>12</v>
      </c>
      <c r="D1633" s="127" t="s">
        <v>81</v>
      </c>
      <c r="E1633" s="127">
        <v>4</v>
      </c>
      <c r="F1633" s="127">
        <v>1</v>
      </c>
      <c r="G1633" s="130" t="s">
        <v>161</v>
      </c>
    </row>
    <row r="1634" spans="2:7" x14ac:dyDescent="0.25">
      <c r="B1634" s="126" t="s">
        <v>163</v>
      </c>
      <c r="C1634" s="127">
        <v>12</v>
      </c>
      <c r="D1634" s="127" t="s">
        <v>83</v>
      </c>
      <c r="E1634" s="127">
        <v>1</v>
      </c>
      <c r="F1634" s="127">
        <v>1</v>
      </c>
      <c r="G1634" s="130" t="s">
        <v>91</v>
      </c>
    </row>
    <row r="1635" spans="2:7" x14ac:dyDescent="0.25">
      <c r="B1635" s="126" t="s">
        <v>163</v>
      </c>
      <c r="C1635" s="127">
        <v>12</v>
      </c>
      <c r="D1635" s="127" t="s">
        <v>84</v>
      </c>
      <c r="E1635" s="127">
        <v>0</v>
      </c>
      <c r="F1635" s="127">
        <v>2</v>
      </c>
      <c r="G1635" s="130" t="s">
        <v>85</v>
      </c>
    </row>
    <row r="1636" spans="2:7" x14ac:dyDescent="0.25">
      <c r="B1636" s="126" t="s">
        <v>163</v>
      </c>
      <c r="C1636" s="127">
        <v>12</v>
      </c>
      <c r="D1636" s="127" t="s">
        <v>87</v>
      </c>
      <c r="E1636" s="127">
        <v>1</v>
      </c>
      <c r="F1636" s="127">
        <v>2</v>
      </c>
      <c r="G1636" s="130" t="s">
        <v>93</v>
      </c>
    </row>
    <row r="1637" spans="2:7" x14ac:dyDescent="0.25">
      <c r="B1637" s="126" t="s">
        <v>163</v>
      </c>
      <c r="C1637" s="127">
        <v>12</v>
      </c>
      <c r="D1637" s="127" t="s">
        <v>86</v>
      </c>
      <c r="E1637" s="127">
        <v>1</v>
      </c>
      <c r="F1637" s="127">
        <v>5</v>
      </c>
      <c r="G1637" s="130" t="s">
        <v>90</v>
      </c>
    </row>
    <row r="1638" spans="2:7" x14ac:dyDescent="0.25">
      <c r="B1638" s="126" t="s">
        <v>163</v>
      </c>
      <c r="C1638" s="127">
        <v>12</v>
      </c>
      <c r="D1638" s="127" t="s">
        <v>89</v>
      </c>
      <c r="E1638" s="127">
        <v>0</v>
      </c>
      <c r="F1638" s="127">
        <v>4</v>
      </c>
      <c r="G1638" s="130" t="s">
        <v>79</v>
      </c>
    </row>
    <row r="1639" spans="2:7" x14ac:dyDescent="0.25">
      <c r="B1639" s="126" t="s">
        <v>163</v>
      </c>
      <c r="C1639" s="127">
        <v>12</v>
      </c>
      <c r="D1639" s="127" t="s">
        <v>92</v>
      </c>
      <c r="E1639" s="127">
        <v>4</v>
      </c>
      <c r="F1639" s="127">
        <v>0</v>
      </c>
      <c r="G1639" s="130" t="s">
        <v>88</v>
      </c>
    </row>
    <row r="1640" spans="2:7" x14ac:dyDescent="0.25">
      <c r="B1640" s="126" t="s">
        <v>163</v>
      </c>
      <c r="C1640" s="127">
        <v>12</v>
      </c>
      <c r="D1640" s="127" t="s">
        <v>162</v>
      </c>
      <c r="E1640" s="127">
        <v>2</v>
      </c>
      <c r="F1640" s="127">
        <v>0</v>
      </c>
      <c r="G1640" s="130" t="s">
        <v>82</v>
      </c>
    </row>
    <row r="1641" spans="2:7" x14ac:dyDescent="0.25">
      <c r="B1641" s="126" t="s">
        <v>163</v>
      </c>
      <c r="C1641" s="127">
        <v>13</v>
      </c>
      <c r="D1641" s="127" t="s">
        <v>79</v>
      </c>
      <c r="E1641" s="127">
        <v>1</v>
      </c>
      <c r="F1641" s="127">
        <v>2</v>
      </c>
      <c r="G1641" s="130" t="s">
        <v>83</v>
      </c>
    </row>
    <row r="1642" spans="2:7" x14ac:dyDescent="0.25">
      <c r="B1642" s="126" t="s">
        <v>163</v>
      </c>
      <c r="C1642" s="127">
        <v>13</v>
      </c>
      <c r="D1642" s="127" t="s">
        <v>82</v>
      </c>
      <c r="E1642" s="127">
        <v>4</v>
      </c>
      <c r="F1642" s="127">
        <v>2</v>
      </c>
      <c r="G1642" s="130" t="s">
        <v>91</v>
      </c>
    </row>
    <row r="1643" spans="2:7" x14ac:dyDescent="0.25">
      <c r="B1643" s="126" t="s">
        <v>163</v>
      </c>
      <c r="C1643" s="127">
        <v>13</v>
      </c>
      <c r="D1643" s="127" t="s">
        <v>85</v>
      </c>
      <c r="E1643" s="127">
        <v>2</v>
      </c>
      <c r="F1643" s="127">
        <v>3</v>
      </c>
      <c r="G1643" s="130" t="s">
        <v>87</v>
      </c>
    </row>
    <row r="1644" spans="2:7" x14ac:dyDescent="0.25">
      <c r="B1644" s="126" t="s">
        <v>163</v>
      </c>
      <c r="C1644" s="127">
        <v>13</v>
      </c>
      <c r="D1644" s="127" t="s">
        <v>86</v>
      </c>
      <c r="E1644" s="127">
        <v>1</v>
      </c>
      <c r="F1644" s="127">
        <v>1</v>
      </c>
      <c r="G1644" s="130" t="s">
        <v>89</v>
      </c>
    </row>
    <row r="1645" spans="2:7" x14ac:dyDescent="0.25">
      <c r="B1645" s="126" t="s">
        <v>163</v>
      </c>
      <c r="C1645" s="127">
        <v>13</v>
      </c>
      <c r="D1645" s="127" t="s">
        <v>88</v>
      </c>
      <c r="E1645" s="127">
        <v>1</v>
      </c>
      <c r="F1645" s="127">
        <v>2</v>
      </c>
      <c r="G1645" s="130" t="s">
        <v>80</v>
      </c>
    </row>
    <row r="1646" spans="2:7" x14ac:dyDescent="0.25">
      <c r="B1646" s="126" t="s">
        <v>163</v>
      </c>
      <c r="C1646" s="127">
        <v>13</v>
      </c>
      <c r="D1646" s="127" t="s">
        <v>90</v>
      </c>
      <c r="E1646" s="127">
        <v>2</v>
      </c>
      <c r="F1646" s="127">
        <v>1</v>
      </c>
      <c r="G1646" s="130" t="s">
        <v>84</v>
      </c>
    </row>
    <row r="1647" spans="2:7" x14ac:dyDescent="0.25">
      <c r="B1647" s="126" t="s">
        <v>163</v>
      </c>
      <c r="C1647" s="127">
        <v>13</v>
      </c>
      <c r="D1647" s="127" t="s">
        <v>93</v>
      </c>
      <c r="E1647" s="127">
        <v>2</v>
      </c>
      <c r="F1647" s="127">
        <v>1</v>
      </c>
      <c r="G1647" s="130" t="s">
        <v>162</v>
      </c>
    </row>
    <row r="1648" spans="2:7" x14ac:dyDescent="0.25">
      <c r="B1648" s="126" t="s">
        <v>163</v>
      </c>
      <c r="C1648" s="127">
        <v>13</v>
      </c>
      <c r="D1648" s="127" t="s">
        <v>161</v>
      </c>
      <c r="E1648" s="127">
        <v>1</v>
      </c>
      <c r="F1648" s="127">
        <v>1</v>
      </c>
      <c r="G1648" s="130" t="s">
        <v>92</v>
      </c>
    </row>
    <row r="1649" spans="2:7" x14ac:dyDescent="0.25">
      <c r="B1649" s="126" t="s">
        <v>163</v>
      </c>
      <c r="C1649" s="127">
        <v>13</v>
      </c>
      <c r="D1649" s="127" t="s">
        <v>148</v>
      </c>
      <c r="E1649" s="127">
        <v>2</v>
      </c>
      <c r="F1649" s="127">
        <v>3</v>
      </c>
      <c r="G1649" s="130" t="s">
        <v>81</v>
      </c>
    </row>
    <row r="1650" spans="2:7" x14ac:dyDescent="0.25">
      <c r="B1650" s="126" t="s">
        <v>163</v>
      </c>
      <c r="C1650" s="127">
        <v>14</v>
      </c>
      <c r="D1650" s="127" t="s">
        <v>80</v>
      </c>
      <c r="E1650" s="127">
        <v>5</v>
      </c>
      <c r="F1650" s="127">
        <v>0</v>
      </c>
      <c r="G1650" s="130" t="s">
        <v>89</v>
      </c>
    </row>
    <row r="1651" spans="2:7" x14ac:dyDescent="0.25">
      <c r="B1651" s="126" t="s">
        <v>163</v>
      </c>
      <c r="C1651" s="127">
        <v>14</v>
      </c>
      <c r="D1651" s="127" t="s">
        <v>81</v>
      </c>
      <c r="E1651" s="127">
        <v>3</v>
      </c>
      <c r="F1651" s="127">
        <v>1</v>
      </c>
      <c r="G1651" s="130" t="s">
        <v>86</v>
      </c>
    </row>
    <row r="1652" spans="2:7" x14ac:dyDescent="0.25">
      <c r="B1652" s="126" t="s">
        <v>163</v>
      </c>
      <c r="C1652" s="127">
        <v>14</v>
      </c>
      <c r="D1652" s="127" t="s">
        <v>83</v>
      </c>
      <c r="E1652" s="127">
        <v>2</v>
      </c>
      <c r="F1652" s="127">
        <v>1</v>
      </c>
      <c r="G1652" s="130" t="s">
        <v>93</v>
      </c>
    </row>
    <row r="1653" spans="2:7" x14ac:dyDescent="0.25">
      <c r="B1653" s="126" t="s">
        <v>163</v>
      </c>
      <c r="C1653" s="127">
        <v>14</v>
      </c>
      <c r="D1653" s="127" t="s">
        <v>82</v>
      </c>
      <c r="E1653" s="127">
        <v>2</v>
      </c>
      <c r="F1653" s="127">
        <v>1</v>
      </c>
      <c r="G1653" s="130" t="s">
        <v>79</v>
      </c>
    </row>
    <row r="1654" spans="2:7" x14ac:dyDescent="0.25">
      <c r="B1654" s="126" t="s">
        <v>163</v>
      </c>
      <c r="C1654" s="127">
        <v>14</v>
      </c>
      <c r="D1654" s="127" t="s">
        <v>84</v>
      </c>
      <c r="E1654" s="127">
        <v>2</v>
      </c>
      <c r="F1654" s="127">
        <v>2</v>
      </c>
      <c r="G1654" s="130" t="s">
        <v>88</v>
      </c>
    </row>
    <row r="1655" spans="2:7" x14ac:dyDescent="0.25">
      <c r="B1655" s="126" t="s">
        <v>163</v>
      </c>
      <c r="C1655" s="127">
        <v>14</v>
      </c>
      <c r="D1655" s="127" t="s">
        <v>87</v>
      </c>
      <c r="E1655" s="127">
        <v>0</v>
      </c>
      <c r="F1655" s="127">
        <v>1</v>
      </c>
      <c r="G1655" s="130" t="s">
        <v>148</v>
      </c>
    </row>
    <row r="1656" spans="2:7" x14ac:dyDescent="0.25">
      <c r="B1656" s="126" t="s">
        <v>163</v>
      </c>
      <c r="C1656" s="127">
        <v>14</v>
      </c>
      <c r="D1656" s="127" t="s">
        <v>91</v>
      </c>
      <c r="E1656" s="127">
        <v>1</v>
      </c>
      <c r="F1656" s="127">
        <v>0</v>
      </c>
      <c r="G1656" s="130" t="s">
        <v>85</v>
      </c>
    </row>
    <row r="1657" spans="2:7" x14ac:dyDescent="0.25">
      <c r="B1657" s="126" t="s">
        <v>163</v>
      </c>
      <c r="C1657" s="127">
        <v>14</v>
      </c>
      <c r="D1657" s="127" t="s">
        <v>92</v>
      </c>
      <c r="E1657" s="127">
        <v>2</v>
      </c>
      <c r="F1657" s="127">
        <v>1</v>
      </c>
      <c r="G1657" s="130" t="s">
        <v>90</v>
      </c>
    </row>
    <row r="1658" spans="2:7" x14ac:dyDescent="0.25">
      <c r="B1658" s="126" t="s">
        <v>163</v>
      </c>
      <c r="C1658" s="127">
        <v>14</v>
      </c>
      <c r="D1658" s="127" t="s">
        <v>162</v>
      </c>
      <c r="E1658" s="127">
        <v>2</v>
      </c>
      <c r="F1658" s="127">
        <v>0</v>
      </c>
      <c r="G1658" s="130" t="s">
        <v>161</v>
      </c>
    </row>
    <row r="1659" spans="2:7" x14ac:dyDescent="0.25">
      <c r="B1659" s="126" t="s">
        <v>163</v>
      </c>
      <c r="C1659" s="127">
        <v>15</v>
      </c>
      <c r="D1659" s="127" t="s">
        <v>79</v>
      </c>
      <c r="E1659" s="127">
        <v>6</v>
      </c>
      <c r="F1659" s="127">
        <v>1</v>
      </c>
      <c r="G1659" s="130" t="s">
        <v>87</v>
      </c>
    </row>
    <row r="1660" spans="2:7" x14ac:dyDescent="0.25">
      <c r="B1660" s="126" t="s">
        <v>163</v>
      </c>
      <c r="C1660" s="127">
        <v>15</v>
      </c>
      <c r="D1660" s="127" t="s">
        <v>85</v>
      </c>
      <c r="E1660" s="127">
        <v>2</v>
      </c>
      <c r="F1660" s="127">
        <v>1</v>
      </c>
      <c r="G1660" s="130" t="s">
        <v>82</v>
      </c>
    </row>
    <row r="1661" spans="2:7" x14ac:dyDescent="0.25">
      <c r="B1661" s="126" t="s">
        <v>163</v>
      </c>
      <c r="C1661" s="127">
        <v>15</v>
      </c>
      <c r="D1661" s="127" t="s">
        <v>86</v>
      </c>
      <c r="E1661" s="127">
        <v>2</v>
      </c>
      <c r="F1661" s="127">
        <v>4</v>
      </c>
      <c r="G1661" s="130" t="s">
        <v>92</v>
      </c>
    </row>
    <row r="1662" spans="2:7" x14ac:dyDescent="0.25">
      <c r="B1662" s="126" t="s">
        <v>163</v>
      </c>
      <c r="C1662" s="127">
        <v>15</v>
      </c>
      <c r="D1662" s="127" t="s">
        <v>89</v>
      </c>
      <c r="E1662" s="127">
        <v>0</v>
      </c>
      <c r="F1662" s="127">
        <v>3</v>
      </c>
      <c r="G1662" s="130" t="s">
        <v>81</v>
      </c>
    </row>
    <row r="1663" spans="2:7" x14ac:dyDescent="0.25">
      <c r="B1663" s="126" t="s">
        <v>163</v>
      </c>
      <c r="C1663" s="127">
        <v>15</v>
      </c>
      <c r="D1663" s="127" t="s">
        <v>88</v>
      </c>
      <c r="E1663" s="127">
        <v>1</v>
      </c>
      <c r="F1663" s="127">
        <v>0</v>
      </c>
      <c r="G1663" s="130" t="s">
        <v>91</v>
      </c>
    </row>
    <row r="1664" spans="2:7" x14ac:dyDescent="0.25">
      <c r="B1664" s="126" t="s">
        <v>163</v>
      </c>
      <c r="C1664" s="127">
        <v>15</v>
      </c>
      <c r="D1664" s="127" t="s">
        <v>90</v>
      </c>
      <c r="E1664" s="127">
        <v>0</v>
      </c>
      <c r="F1664" s="127">
        <v>4</v>
      </c>
      <c r="G1664" s="130" t="s">
        <v>80</v>
      </c>
    </row>
    <row r="1665" spans="2:7" x14ac:dyDescent="0.25">
      <c r="B1665" s="126" t="s">
        <v>163</v>
      </c>
      <c r="C1665" s="127">
        <v>15</v>
      </c>
      <c r="D1665" s="127" t="s">
        <v>93</v>
      </c>
      <c r="E1665" s="127">
        <v>1</v>
      </c>
      <c r="F1665" s="127">
        <v>0</v>
      </c>
      <c r="G1665" s="130" t="s">
        <v>84</v>
      </c>
    </row>
    <row r="1666" spans="2:7" x14ac:dyDescent="0.25">
      <c r="B1666" s="126" t="s">
        <v>163</v>
      </c>
      <c r="C1666" s="127">
        <v>15</v>
      </c>
      <c r="D1666" s="127" t="s">
        <v>161</v>
      </c>
      <c r="E1666" s="127">
        <v>2</v>
      </c>
      <c r="F1666" s="127">
        <v>0</v>
      </c>
      <c r="G1666" s="130" t="s">
        <v>83</v>
      </c>
    </row>
    <row r="1667" spans="2:7" x14ac:dyDescent="0.25">
      <c r="B1667" s="126" t="s">
        <v>163</v>
      </c>
      <c r="C1667" s="127">
        <v>15</v>
      </c>
      <c r="D1667" s="127" t="s">
        <v>148</v>
      </c>
      <c r="E1667" s="127">
        <v>1</v>
      </c>
      <c r="F1667" s="127">
        <v>1</v>
      </c>
      <c r="G1667" s="130" t="s">
        <v>162</v>
      </c>
    </row>
    <row r="1668" spans="2:7" x14ac:dyDescent="0.25">
      <c r="B1668" s="126" t="s">
        <v>163</v>
      </c>
      <c r="C1668" s="127">
        <v>16</v>
      </c>
      <c r="D1668" s="127" t="s">
        <v>80</v>
      </c>
      <c r="E1668" s="127">
        <v>3</v>
      </c>
      <c r="F1668" s="127">
        <v>3</v>
      </c>
      <c r="G1668" s="130" t="s">
        <v>81</v>
      </c>
    </row>
    <row r="1669" spans="2:7" x14ac:dyDescent="0.25">
      <c r="B1669" s="126" t="s">
        <v>163</v>
      </c>
      <c r="C1669" s="127">
        <v>16</v>
      </c>
      <c r="D1669" s="127" t="s">
        <v>83</v>
      </c>
      <c r="E1669" s="127">
        <v>0</v>
      </c>
      <c r="F1669" s="127">
        <v>1</v>
      </c>
      <c r="G1669" s="130" t="s">
        <v>88</v>
      </c>
    </row>
    <row r="1670" spans="2:7" x14ac:dyDescent="0.25">
      <c r="B1670" s="126" t="s">
        <v>163</v>
      </c>
      <c r="C1670" s="127">
        <v>16</v>
      </c>
      <c r="D1670" s="127" t="s">
        <v>82</v>
      </c>
      <c r="E1670" s="127">
        <v>2</v>
      </c>
      <c r="F1670" s="127">
        <v>0</v>
      </c>
      <c r="G1670" s="130" t="s">
        <v>148</v>
      </c>
    </row>
    <row r="1671" spans="2:7" x14ac:dyDescent="0.25">
      <c r="B1671" s="126" t="s">
        <v>163</v>
      </c>
      <c r="C1671" s="127">
        <v>16</v>
      </c>
      <c r="D1671" s="127" t="s">
        <v>85</v>
      </c>
      <c r="E1671" s="127">
        <v>1</v>
      </c>
      <c r="F1671" s="127">
        <v>1</v>
      </c>
      <c r="G1671" s="130" t="s">
        <v>93</v>
      </c>
    </row>
    <row r="1672" spans="2:7" x14ac:dyDescent="0.25">
      <c r="B1672" s="126" t="s">
        <v>163</v>
      </c>
      <c r="C1672" s="127">
        <v>16</v>
      </c>
      <c r="D1672" s="127" t="s">
        <v>84</v>
      </c>
      <c r="E1672" s="127">
        <v>2</v>
      </c>
      <c r="F1672" s="127">
        <v>4</v>
      </c>
      <c r="G1672" s="130" t="s">
        <v>161</v>
      </c>
    </row>
    <row r="1673" spans="2:7" x14ac:dyDescent="0.25">
      <c r="B1673" s="126" t="s">
        <v>163</v>
      </c>
      <c r="C1673" s="127">
        <v>16</v>
      </c>
      <c r="D1673" s="127" t="s">
        <v>87</v>
      </c>
      <c r="E1673" s="127">
        <v>0</v>
      </c>
      <c r="F1673" s="127">
        <v>5</v>
      </c>
      <c r="G1673" s="130" t="s">
        <v>90</v>
      </c>
    </row>
    <row r="1674" spans="2:7" x14ac:dyDescent="0.25">
      <c r="B1674" s="126" t="s">
        <v>163</v>
      </c>
      <c r="C1674" s="127">
        <v>16</v>
      </c>
      <c r="D1674" s="127" t="s">
        <v>91</v>
      </c>
      <c r="E1674" s="127">
        <v>1</v>
      </c>
      <c r="F1674" s="127">
        <v>3</v>
      </c>
      <c r="G1674" s="130" t="s">
        <v>79</v>
      </c>
    </row>
    <row r="1675" spans="2:7" x14ac:dyDescent="0.25">
      <c r="B1675" s="126" t="s">
        <v>163</v>
      </c>
      <c r="C1675" s="127">
        <v>16</v>
      </c>
      <c r="D1675" s="127" t="s">
        <v>92</v>
      </c>
      <c r="E1675" s="127">
        <v>3</v>
      </c>
      <c r="F1675" s="127">
        <v>0</v>
      </c>
      <c r="G1675" s="130" t="s">
        <v>89</v>
      </c>
    </row>
    <row r="1676" spans="2:7" x14ac:dyDescent="0.25">
      <c r="B1676" s="126" t="s">
        <v>163</v>
      </c>
      <c r="C1676" s="127">
        <v>16</v>
      </c>
      <c r="D1676" s="127" t="s">
        <v>162</v>
      </c>
      <c r="E1676" s="127">
        <v>0</v>
      </c>
      <c r="F1676" s="127">
        <v>2</v>
      </c>
      <c r="G1676" s="130" t="s">
        <v>86</v>
      </c>
    </row>
    <row r="1677" spans="2:7" x14ac:dyDescent="0.25">
      <c r="B1677" s="126" t="s">
        <v>163</v>
      </c>
      <c r="C1677" s="127">
        <v>17</v>
      </c>
      <c r="D1677" s="127" t="s">
        <v>79</v>
      </c>
      <c r="E1677" s="127">
        <v>2</v>
      </c>
      <c r="F1677" s="127">
        <v>0</v>
      </c>
      <c r="G1677" s="130" t="s">
        <v>85</v>
      </c>
    </row>
    <row r="1678" spans="2:7" x14ac:dyDescent="0.25">
      <c r="B1678" s="126" t="s">
        <v>163</v>
      </c>
      <c r="C1678" s="127">
        <v>17</v>
      </c>
      <c r="D1678" s="127" t="s">
        <v>81</v>
      </c>
      <c r="E1678" s="127">
        <v>3</v>
      </c>
      <c r="F1678" s="127">
        <v>1</v>
      </c>
      <c r="G1678" s="130" t="s">
        <v>92</v>
      </c>
    </row>
    <row r="1679" spans="2:7" x14ac:dyDescent="0.25">
      <c r="B1679" s="126" t="s">
        <v>163</v>
      </c>
      <c r="C1679" s="127">
        <v>17</v>
      </c>
      <c r="D1679" s="127" t="s">
        <v>86</v>
      </c>
      <c r="E1679" s="127">
        <v>2</v>
      </c>
      <c r="F1679" s="127">
        <v>1</v>
      </c>
      <c r="G1679" s="130" t="s">
        <v>80</v>
      </c>
    </row>
    <row r="1680" spans="2:7" x14ac:dyDescent="0.25">
      <c r="B1680" s="126" t="s">
        <v>163</v>
      </c>
      <c r="C1680" s="127">
        <v>17</v>
      </c>
      <c r="D1680" s="127" t="s">
        <v>89</v>
      </c>
      <c r="E1680" s="127">
        <v>2</v>
      </c>
      <c r="F1680" s="127">
        <v>1</v>
      </c>
      <c r="G1680" s="130" t="s">
        <v>162</v>
      </c>
    </row>
    <row r="1681" spans="2:7" x14ac:dyDescent="0.25">
      <c r="B1681" s="126" t="s">
        <v>163</v>
      </c>
      <c r="C1681" s="127">
        <v>17</v>
      </c>
      <c r="D1681" s="127" t="s">
        <v>88</v>
      </c>
      <c r="E1681" s="127">
        <v>0</v>
      </c>
      <c r="F1681" s="127">
        <v>0</v>
      </c>
      <c r="G1681" s="130" t="s">
        <v>82</v>
      </c>
    </row>
    <row r="1682" spans="2:7" x14ac:dyDescent="0.25">
      <c r="B1682" s="126" t="s">
        <v>163</v>
      </c>
      <c r="C1682" s="127">
        <v>17</v>
      </c>
      <c r="D1682" s="127" t="s">
        <v>90</v>
      </c>
      <c r="E1682" s="127">
        <v>0</v>
      </c>
      <c r="F1682" s="127">
        <v>1</v>
      </c>
      <c r="G1682" s="130" t="s">
        <v>83</v>
      </c>
    </row>
    <row r="1683" spans="2:7" x14ac:dyDescent="0.25">
      <c r="B1683" s="126" t="s">
        <v>163</v>
      </c>
      <c r="C1683" s="127">
        <v>17</v>
      </c>
      <c r="D1683" s="127" t="s">
        <v>93</v>
      </c>
      <c r="E1683" s="127">
        <v>2</v>
      </c>
      <c r="F1683" s="127">
        <v>2</v>
      </c>
      <c r="G1683" s="130" t="s">
        <v>91</v>
      </c>
    </row>
    <row r="1684" spans="2:7" x14ac:dyDescent="0.25">
      <c r="B1684" s="126" t="s">
        <v>163</v>
      </c>
      <c r="C1684" s="127">
        <v>17</v>
      </c>
      <c r="D1684" s="127" t="s">
        <v>161</v>
      </c>
      <c r="E1684" s="127">
        <v>1</v>
      </c>
      <c r="F1684" s="127">
        <v>0</v>
      </c>
      <c r="G1684" s="130" t="s">
        <v>87</v>
      </c>
    </row>
    <row r="1685" spans="2:7" x14ac:dyDescent="0.25">
      <c r="B1685" s="126" t="s">
        <v>163</v>
      </c>
      <c r="C1685" s="127">
        <v>17</v>
      </c>
      <c r="D1685" s="127" t="s">
        <v>148</v>
      </c>
      <c r="E1685" s="127">
        <v>2</v>
      </c>
      <c r="F1685" s="127">
        <v>1</v>
      </c>
      <c r="G1685" s="130" t="s">
        <v>84</v>
      </c>
    </row>
    <row r="1686" spans="2:7" x14ac:dyDescent="0.25">
      <c r="B1686" s="126" t="s">
        <v>163</v>
      </c>
      <c r="C1686" s="127">
        <v>18</v>
      </c>
      <c r="D1686" s="127" t="s">
        <v>88</v>
      </c>
      <c r="E1686" s="127">
        <v>0</v>
      </c>
      <c r="F1686" s="127">
        <v>4</v>
      </c>
      <c r="G1686" s="130" t="s">
        <v>79</v>
      </c>
    </row>
    <row r="1687" spans="2:7" x14ac:dyDescent="0.25">
      <c r="B1687" s="126" t="s">
        <v>163</v>
      </c>
      <c r="C1687" s="127">
        <v>18</v>
      </c>
      <c r="D1687" s="127" t="s">
        <v>92</v>
      </c>
      <c r="E1687" s="127">
        <v>3</v>
      </c>
      <c r="F1687" s="127">
        <v>5</v>
      </c>
      <c r="G1687" s="130" t="s">
        <v>80</v>
      </c>
    </row>
    <row r="1688" spans="2:7" x14ac:dyDescent="0.25">
      <c r="B1688" s="126" t="s">
        <v>163</v>
      </c>
      <c r="C1688" s="127">
        <v>18</v>
      </c>
      <c r="D1688" s="127" t="s">
        <v>148</v>
      </c>
      <c r="E1688" s="127">
        <v>1</v>
      </c>
      <c r="F1688" s="127">
        <v>4</v>
      </c>
      <c r="G1688" s="130" t="s">
        <v>83</v>
      </c>
    </row>
    <row r="1689" spans="2:7" x14ac:dyDescent="0.25">
      <c r="B1689" s="126" t="s">
        <v>163</v>
      </c>
      <c r="C1689" s="127">
        <v>18</v>
      </c>
      <c r="D1689" s="127" t="s">
        <v>93</v>
      </c>
      <c r="E1689" s="127">
        <v>2</v>
      </c>
      <c r="F1689" s="127">
        <v>0</v>
      </c>
      <c r="G1689" s="130" t="s">
        <v>82</v>
      </c>
    </row>
    <row r="1690" spans="2:7" x14ac:dyDescent="0.25">
      <c r="B1690" s="126" t="s">
        <v>163</v>
      </c>
      <c r="C1690" s="127">
        <v>18</v>
      </c>
      <c r="D1690" s="127" t="s">
        <v>161</v>
      </c>
      <c r="E1690" s="127">
        <v>3</v>
      </c>
      <c r="F1690" s="127">
        <v>1</v>
      </c>
      <c r="G1690" s="130" t="s">
        <v>85</v>
      </c>
    </row>
    <row r="1691" spans="2:7" x14ac:dyDescent="0.25">
      <c r="B1691" s="126" t="s">
        <v>163</v>
      </c>
      <c r="C1691" s="127">
        <v>18</v>
      </c>
      <c r="D1691" s="127" t="s">
        <v>86</v>
      </c>
      <c r="E1691" s="127">
        <v>1</v>
      </c>
      <c r="F1691" s="127">
        <v>2</v>
      </c>
      <c r="G1691" s="130" t="s">
        <v>84</v>
      </c>
    </row>
    <row r="1692" spans="2:7" x14ac:dyDescent="0.25">
      <c r="B1692" s="126" t="s">
        <v>163</v>
      </c>
      <c r="C1692" s="127">
        <v>18</v>
      </c>
      <c r="D1692" s="127" t="s">
        <v>89</v>
      </c>
      <c r="E1692" s="127">
        <v>0</v>
      </c>
      <c r="F1692" s="127">
        <v>1</v>
      </c>
      <c r="G1692" s="130" t="s">
        <v>87</v>
      </c>
    </row>
    <row r="1693" spans="2:7" x14ac:dyDescent="0.25">
      <c r="B1693" s="126" t="s">
        <v>163</v>
      </c>
      <c r="C1693" s="127">
        <v>18</v>
      </c>
      <c r="D1693" s="127" t="s">
        <v>90</v>
      </c>
      <c r="E1693" s="127">
        <v>1</v>
      </c>
      <c r="F1693" s="127">
        <v>2</v>
      </c>
      <c r="G1693" s="130" t="s">
        <v>91</v>
      </c>
    </row>
    <row r="1694" spans="2:7" x14ac:dyDescent="0.25">
      <c r="B1694" s="126" t="s">
        <v>163</v>
      </c>
      <c r="C1694" s="127">
        <v>18</v>
      </c>
      <c r="D1694" s="127" t="s">
        <v>81</v>
      </c>
      <c r="E1694" s="127">
        <v>3</v>
      </c>
      <c r="F1694" s="127">
        <v>1</v>
      </c>
      <c r="G1694" s="130" t="s">
        <v>162</v>
      </c>
    </row>
    <row r="1695" spans="2:7" x14ac:dyDescent="0.25">
      <c r="B1695" s="126" t="s">
        <v>163</v>
      </c>
      <c r="C1695" s="127">
        <v>19</v>
      </c>
      <c r="D1695" s="127" t="s">
        <v>84</v>
      </c>
      <c r="E1695" s="127">
        <v>2</v>
      </c>
      <c r="F1695" s="127">
        <v>0</v>
      </c>
      <c r="G1695" s="130" t="s">
        <v>81</v>
      </c>
    </row>
    <row r="1696" spans="2:7" x14ac:dyDescent="0.25">
      <c r="B1696" s="126" t="s">
        <v>163</v>
      </c>
      <c r="C1696" s="127">
        <v>19</v>
      </c>
      <c r="D1696" s="127" t="s">
        <v>87</v>
      </c>
      <c r="E1696" s="127">
        <v>0</v>
      </c>
      <c r="F1696" s="127">
        <v>3</v>
      </c>
      <c r="G1696" s="130" t="s">
        <v>86</v>
      </c>
    </row>
    <row r="1697" spans="2:7" x14ac:dyDescent="0.25">
      <c r="B1697" s="126" t="s">
        <v>163</v>
      </c>
      <c r="C1697" s="127">
        <v>19</v>
      </c>
      <c r="D1697" s="127" t="s">
        <v>83</v>
      </c>
      <c r="E1697" s="127">
        <v>3</v>
      </c>
      <c r="F1697" s="127">
        <v>0</v>
      </c>
      <c r="G1697" s="130" t="s">
        <v>89</v>
      </c>
    </row>
    <row r="1698" spans="2:7" x14ac:dyDescent="0.25">
      <c r="B1698" s="126" t="s">
        <v>163</v>
      </c>
      <c r="C1698" s="127">
        <v>19</v>
      </c>
      <c r="D1698" s="127" t="s">
        <v>85</v>
      </c>
      <c r="E1698" s="127">
        <v>1</v>
      </c>
      <c r="F1698" s="127">
        <v>2</v>
      </c>
      <c r="G1698" s="130" t="s">
        <v>88</v>
      </c>
    </row>
    <row r="1699" spans="2:7" x14ac:dyDescent="0.25">
      <c r="B1699" s="126" t="s">
        <v>163</v>
      </c>
      <c r="C1699" s="127">
        <v>19</v>
      </c>
      <c r="D1699" s="127" t="s">
        <v>82</v>
      </c>
      <c r="E1699" s="127">
        <v>3</v>
      </c>
      <c r="F1699" s="127">
        <v>1</v>
      </c>
      <c r="G1699" s="130" t="s">
        <v>90</v>
      </c>
    </row>
    <row r="1700" spans="2:7" x14ac:dyDescent="0.25">
      <c r="B1700" s="126" t="s">
        <v>163</v>
      </c>
      <c r="C1700" s="127">
        <v>19</v>
      </c>
      <c r="D1700" s="127" t="s">
        <v>79</v>
      </c>
      <c r="E1700" s="127">
        <v>5</v>
      </c>
      <c r="F1700" s="127">
        <v>0</v>
      </c>
      <c r="G1700" s="130" t="s">
        <v>93</v>
      </c>
    </row>
    <row r="1701" spans="2:7" x14ac:dyDescent="0.25">
      <c r="B1701" s="126" t="s">
        <v>163</v>
      </c>
      <c r="C1701" s="127">
        <v>19</v>
      </c>
      <c r="D1701" s="127" t="s">
        <v>162</v>
      </c>
      <c r="E1701" s="127">
        <v>2</v>
      </c>
      <c r="F1701" s="127">
        <v>0</v>
      </c>
      <c r="G1701" s="130" t="s">
        <v>92</v>
      </c>
    </row>
    <row r="1702" spans="2:7" x14ac:dyDescent="0.25">
      <c r="B1702" s="126" t="s">
        <v>163</v>
      </c>
      <c r="C1702" s="127">
        <v>19</v>
      </c>
      <c r="D1702" s="127" t="s">
        <v>80</v>
      </c>
      <c r="E1702" s="127">
        <v>5</v>
      </c>
      <c r="F1702" s="127">
        <v>1</v>
      </c>
      <c r="G1702" s="130" t="s">
        <v>161</v>
      </c>
    </row>
    <row r="1703" spans="2:7" x14ac:dyDescent="0.25">
      <c r="B1703" s="126" t="s">
        <v>163</v>
      </c>
      <c r="C1703" s="127">
        <v>19</v>
      </c>
      <c r="D1703" s="127" t="s">
        <v>91</v>
      </c>
      <c r="E1703" s="127">
        <v>0</v>
      </c>
      <c r="F1703" s="127">
        <v>2</v>
      </c>
      <c r="G1703" s="130" t="s">
        <v>148</v>
      </c>
    </row>
    <row r="1704" spans="2:7" x14ac:dyDescent="0.25">
      <c r="B1704" s="126" t="s">
        <v>163</v>
      </c>
      <c r="C1704" s="127">
        <v>20</v>
      </c>
      <c r="D1704" s="127" t="s">
        <v>90</v>
      </c>
      <c r="E1704" s="127">
        <v>1</v>
      </c>
      <c r="F1704" s="127">
        <v>3</v>
      </c>
      <c r="G1704" s="130" t="s">
        <v>79</v>
      </c>
    </row>
    <row r="1705" spans="2:7" x14ac:dyDescent="0.25">
      <c r="B1705" s="126" t="s">
        <v>163</v>
      </c>
      <c r="C1705" s="127">
        <v>20</v>
      </c>
      <c r="D1705" s="127" t="s">
        <v>86</v>
      </c>
      <c r="E1705" s="127">
        <v>2</v>
      </c>
      <c r="F1705" s="127">
        <v>1</v>
      </c>
      <c r="G1705" s="130" t="s">
        <v>83</v>
      </c>
    </row>
    <row r="1706" spans="2:7" x14ac:dyDescent="0.25">
      <c r="B1706" s="126" t="s">
        <v>163</v>
      </c>
      <c r="C1706" s="127">
        <v>20</v>
      </c>
      <c r="D1706" s="127" t="s">
        <v>81</v>
      </c>
      <c r="E1706" s="127">
        <v>2</v>
      </c>
      <c r="F1706" s="127">
        <v>2</v>
      </c>
      <c r="G1706" s="130" t="s">
        <v>82</v>
      </c>
    </row>
    <row r="1707" spans="2:7" x14ac:dyDescent="0.25">
      <c r="B1707" s="126" t="s">
        <v>163</v>
      </c>
      <c r="C1707" s="127">
        <v>20</v>
      </c>
      <c r="D1707" s="127" t="s">
        <v>148</v>
      </c>
      <c r="E1707" s="127">
        <v>2</v>
      </c>
      <c r="F1707" s="127">
        <v>4</v>
      </c>
      <c r="G1707" s="130" t="s">
        <v>85</v>
      </c>
    </row>
    <row r="1708" spans="2:7" x14ac:dyDescent="0.25">
      <c r="B1708" s="126" t="s">
        <v>163</v>
      </c>
      <c r="C1708" s="127">
        <v>20</v>
      </c>
      <c r="D1708" s="127" t="s">
        <v>89</v>
      </c>
      <c r="E1708" s="127">
        <v>1</v>
      </c>
      <c r="F1708" s="127">
        <v>1</v>
      </c>
      <c r="G1708" s="130" t="s">
        <v>84</v>
      </c>
    </row>
    <row r="1709" spans="2:7" x14ac:dyDescent="0.25">
      <c r="B1709" s="126" t="s">
        <v>163</v>
      </c>
      <c r="C1709" s="127">
        <v>20</v>
      </c>
      <c r="D1709" s="127" t="s">
        <v>92</v>
      </c>
      <c r="E1709" s="127">
        <v>2</v>
      </c>
      <c r="F1709" s="127">
        <v>1</v>
      </c>
      <c r="G1709" s="130" t="s">
        <v>87</v>
      </c>
    </row>
    <row r="1710" spans="2:7" x14ac:dyDescent="0.25">
      <c r="B1710" s="126" t="s">
        <v>163</v>
      </c>
      <c r="C1710" s="127">
        <v>20</v>
      </c>
      <c r="D1710" s="127" t="s">
        <v>161</v>
      </c>
      <c r="E1710" s="127">
        <v>4</v>
      </c>
      <c r="F1710" s="127">
        <v>0</v>
      </c>
      <c r="G1710" s="130" t="s">
        <v>91</v>
      </c>
    </row>
    <row r="1711" spans="2:7" x14ac:dyDescent="0.25">
      <c r="B1711" s="126" t="s">
        <v>163</v>
      </c>
      <c r="C1711" s="127">
        <v>20</v>
      </c>
      <c r="D1711" s="127" t="s">
        <v>88</v>
      </c>
      <c r="E1711" s="127">
        <v>0</v>
      </c>
      <c r="F1711" s="127">
        <v>0</v>
      </c>
      <c r="G1711" s="130" t="s">
        <v>93</v>
      </c>
    </row>
    <row r="1712" spans="2:7" x14ac:dyDescent="0.25">
      <c r="B1712" s="126" t="s">
        <v>163</v>
      </c>
      <c r="C1712" s="127">
        <v>20</v>
      </c>
      <c r="D1712" s="127" t="s">
        <v>80</v>
      </c>
      <c r="E1712" s="127">
        <v>5</v>
      </c>
      <c r="F1712" s="127">
        <v>0</v>
      </c>
      <c r="G1712" s="130" t="s">
        <v>162</v>
      </c>
    </row>
    <row r="1713" spans="2:7" x14ac:dyDescent="0.25">
      <c r="B1713" s="126" t="s">
        <v>163</v>
      </c>
      <c r="C1713" s="127">
        <v>21</v>
      </c>
      <c r="D1713" s="127" t="s">
        <v>83</v>
      </c>
      <c r="E1713" s="127">
        <v>4</v>
      </c>
      <c r="F1713" s="127">
        <v>3</v>
      </c>
      <c r="G1713" s="130" t="s">
        <v>80</v>
      </c>
    </row>
    <row r="1714" spans="2:7" x14ac:dyDescent="0.25">
      <c r="B1714" s="126" t="s">
        <v>163</v>
      </c>
      <c r="C1714" s="127">
        <v>21</v>
      </c>
      <c r="D1714" s="127" t="s">
        <v>79</v>
      </c>
      <c r="E1714" s="127">
        <v>0</v>
      </c>
      <c r="F1714" s="127">
        <v>0</v>
      </c>
      <c r="G1714" s="130" t="s">
        <v>81</v>
      </c>
    </row>
    <row r="1715" spans="2:7" x14ac:dyDescent="0.25">
      <c r="B1715" s="126" t="s">
        <v>163</v>
      </c>
      <c r="C1715" s="127">
        <v>21</v>
      </c>
      <c r="D1715" s="127" t="s">
        <v>91</v>
      </c>
      <c r="E1715" s="127">
        <v>1</v>
      </c>
      <c r="F1715" s="127">
        <v>0</v>
      </c>
      <c r="G1715" s="130" t="s">
        <v>86</v>
      </c>
    </row>
    <row r="1716" spans="2:7" x14ac:dyDescent="0.25">
      <c r="B1716" s="126" t="s">
        <v>163</v>
      </c>
      <c r="C1716" s="127">
        <v>21</v>
      </c>
      <c r="D1716" s="127" t="s">
        <v>85</v>
      </c>
      <c r="E1716" s="127">
        <v>1</v>
      </c>
      <c r="F1716" s="127">
        <v>1</v>
      </c>
      <c r="G1716" s="130" t="s">
        <v>89</v>
      </c>
    </row>
    <row r="1717" spans="2:7" x14ac:dyDescent="0.25">
      <c r="B1717" s="126" t="s">
        <v>163</v>
      </c>
      <c r="C1717" s="127">
        <v>21</v>
      </c>
      <c r="D1717" s="127" t="s">
        <v>88</v>
      </c>
      <c r="E1717" s="127">
        <v>1</v>
      </c>
      <c r="F1717" s="127">
        <v>3</v>
      </c>
      <c r="G1717" s="130" t="s">
        <v>90</v>
      </c>
    </row>
    <row r="1718" spans="2:7" x14ac:dyDescent="0.25">
      <c r="B1718" s="126" t="s">
        <v>163</v>
      </c>
      <c r="C1718" s="127">
        <v>21</v>
      </c>
      <c r="D1718" s="127" t="s">
        <v>84</v>
      </c>
      <c r="E1718" s="127">
        <v>5</v>
      </c>
      <c r="F1718" s="127">
        <v>0</v>
      </c>
      <c r="G1718" s="130" t="s">
        <v>92</v>
      </c>
    </row>
    <row r="1719" spans="2:7" x14ac:dyDescent="0.25">
      <c r="B1719" s="126" t="s">
        <v>163</v>
      </c>
      <c r="C1719" s="127">
        <v>21</v>
      </c>
      <c r="D1719" s="127" t="s">
        <v>82</v>
      </c>
      <c r="E1719" s="127"/>
      <c r="F1719" s="127"/>
      <c r="G1719" s="130" t="s">
        <v>161</v>
      </c>
    </row>
    <row r="1720" spans="2:7" x14ac:dyDescent="0.25">
      <c r="B1720" s="126" t="s">
        <v>163</v>
      </c>
      <c r="C1720" s="127">
        <v>21</v>
      </c>
      <c r="D1720" s="127" t="s">
        <v>93</v>
      </c>
      <c r="E1720" s="127">
        <v>1</v>
      </c>
      <c r="F1720" s="127">
        <v>1</v>
      </c>
      <c r="G1720" s="130" t="s">
        <v>148</v>
      </c>
    </row>
    <row r="1721" spans="2:7" x14ac:dyDescent="0.25">
      <c r="B1721" s="126" t="s">
        <v>163</v>
      </c>
      <c r="C1721" s="127">
        <v>21</v>
      </c>
      <c r="D1721" s="127" t="s">
        <v>87</v>
      </c>
      <c r="E1721" s="127">
        <v>0</v>
      </c>
      <c r="F1721" s="127">
        <v>2</v>
      </c>
      <c r="G1721" s="130" t="s">
        <v>162</v>
      </c>
    </row>
    <row r="1722" spans="2:7" x14ac:dyDescent="0.25">
      <c r="B1722" s="126" t="s">
        <v>163</v>
      </c>
      <c r="C1722" s="127">
        <v>22</v>
      </c>
      <c r="D1722" s="127" t="s">
        <v>161</v>
      </c>
      <c r="E1722" s="127">
        <v>1</v>
      </c>
      <c r="F1722" s="127">
        <v>4</v>
      </c>
      <c r="G1722" s="130" t="s">
        <v>79</v>
      </c>
    </row>
    <row r="1723" spans="2:7" x14ac:dyDescent="0.25">
      <c r="B1723" s="126" t="s">
        <v>163</v>
      </c>
      <c r="C1723" s="127">
        <v>22</v>
      </c>
      <c r="D1723" s="127" t="s">
        <v>162</v>
      </c>
      <c r="E1723" s="127">
        <v>2</v>
      </c>
      <c r="F1723" s="127">
        <v>3</v>
      </c>
      <c r="G1723" s="130" t="s">
        <v>83</v>
      </c>
    </row>
    <row r="1724" spans="2:7" x14ac:dyDescent="0.25">
      <c r="B1724" s="126" t="s">
        <v>163</v>
      </c>
      <c r="C1724" s="127">
        <v>22</v>
      </c>
      <c r="D1724" s="127" t="s">
        <v>89</v>
      </c>
      <c r="E1724" s="127">
        <v>1</v>
      </c>
      <c r="F1724" s="127">
        <v>4</v>
      </c>
      <c r="G1724" s="130" t="s">
        <v>82</v>
      </c>
    </row>
    <row r="1725" spans="2:7" x14ac:dyDescent="0.25">
      <c r="B1725" s="126" t="s">
        <v>163</v>
      </c>
      <c r="C1725" s="127">
        <v>22</v>
      </c>
      <c r="D1725" s="127" t="s">
        <v>86</v>
      </c>
      <c r="E1725" s="127">
        <v>2</v>
      </c>
      <c r="F1725" s="127">
        <v>3</v>
      </c>
      <c r="G1725" s="130" t="s">
        <v>85</v>
      </c>
    </row>
    <row r="1726" spans="2:7" x14ac:dyDescent="0.25">
      <c r="B1726" s="126" t="s">
        <v>163</v>
      </c>
      <c r="C1726" s="127">
        <v>22</v>
      </c>
      <c r="D1726" s="127" t="s">
        <v>80</v>
      </c>
      <c r="E1726" s="127">
        <v>4</v>
      </c>
      <c r="F1726" s="127">
        <v>0</v>
      </c>
      <c r="G1726" s="130" t="s">
        <v>84</v>
      </c>
    </row>
    <row r="1727" spans="2:7" x14ac:dyDescent="0.25">
      <c r="B1727" s="126" t="s">
        <v>163</v>
      </c>
      <c r="C1727" s="127">
        <v>22</v>
      </c>
      <c r="D1727" s="127" t="s">
        <v>81</v>
      </c>
      <c r="E1727" s="127">
        <v>3</v>
      </c>
      <c r="F1727" s="127">
        <v>0</v>
      </c>
      <c r="G1727" s="130" t="s">
        <v>87</v>
      </c>
    </row>
    <row r="1728" spans="2:7" x14ac:dyDescent="0.25">
      <c r="B1728" s="126" t="s">
        <v>163</v>
      </c>
      <c r="C1728" s="127">
        <v>22</v>
      </c>
      <c r="D1728" s="127" t="s">
        <v>148</v>
      </c>
      <c r="E1728" s="127">
        <v>1</v>
      </c>
      <c r="F1728" s="127">
        <v>2</v>
      </c>
      <c r="G1728" s="130" t="s">
        <v>88</v>
      </c>
    </row>
    <row r="1729" spans="2:7" x14ac:dyDescent="0.25">
      <c r="B1729" s="126" t="s">
        <v>163</v>
      </c>
      <c r="C1729" s="127">
        <v>22</v>
      </c>
      <c r="D1729" s="127" t="s">
        <v>92</v>
      </c>
      <c r="E1729" s="127">
        <v>1</v>
      </c>
      <c r="F1729" s="127">
        <v>1</v>
      </c>
      <c r="G1729" s="130" t="s">
        <v>91</v>
      </c>
    </row>
    <row r="1730" spans="2:7" x14ac:dyDescent="0.25">
      <c r="B1730" s="126" t="s">
        <v>163</v>
      </c>
      <c r="C1730" s="127">
        <v>22</v>
      </c>
      <c r="D1730" s="127" t="s">
        <v>90</v>
      </c>
      <c r="E1730" s="127">
        <v>0</v>
      </c>
      <c r="F1730" s="127">
        <v>0</v>
      </c>
      <c r="G1730" s="130" t="s">
        <v>93</v>
      </c>
    </row>
    <row r="1731" spans="2:7" x14ac:dyDescent="0.25">
      <c r="B1731" s="126" t="s">
        <v>163</v>
      </c>
      <c r="C1731" s="127">
        <v>23</v>
      </c>
      <c r="D1731" s="127" t="s">
        <v>87</v>
      </c>
      <c r="E1731" s="127">
        <v>0</v>
      </c>
      <c r="F1731" s="127">
        <v>2</v>
      </c>
      <c r="G1731" s="130" t="s">
        <v>80</v>
      </c>
    </row>
    <row r="1732" spans="2:7" x14ac:dyDescent="0.25">
      <c r="B1732" s="126" t="s">
        <v>163</v>
      </c>
      <c r="C1732" s="127">
        <v>23</v>
      </c>
      <c r="D1732" s="127" t="s">
        <v>93</v>
      </c>
      <c r="E1732" s="127">
        <v>0</v>
      </c>
      <c r="F1732" s="127">
        <v>5</v>
      </c>
      <c r="G1732" s="130" t="s">
        <v>81</v>
      </c>
    </row>
    <row r="1733" spans="2:7" x14ac:dyDescent="0.25">
      <c r="B1733" s="126" t="s">
        <v>163</v>
      </c>
      <c r="C1733" s="127">
        <v>23</v>
      </c>
      <c r="D1733" s="127" t="s">
        <v>82</v>
      </c>
      <c r="E1733" s="127">
        <v>1</v>
      </c>
      <c r="F1733" s="127">
        <v>1</v>
      </c>
      <c r="G1733" s="130" t="s">
        <v>86</v>
      </c>
    </row>
    <row r="1734" spans="2:7" x14ac:dyDescent="0.25">
      <c r="B1734" s="126" t="s">
        <v>163</v>
      </c>
      <c r="C1734" s="127">
        <v>23</v>
      </c>
      <c r="D1734" s="127" t="s">
        <v>91</v>
      </c>
      <c r="E1734" s="127">
        <v>0</v>
      </c>
      <c r="F1734" s="127">
        <v>2</v>
      </c>
      <c r="G1734" s="130" t="s">
        <v>89</v>
      </c>
    </row>
    <row r="1735" spans="2:7" x14ac:dyDescent="0.25">
      <c r="B1735" s="126" t="s">
        <v>163</v>
      </c>
      <c r="C1735" s="127">
        <v>23</v>
      </c>
      <c r="D1735" s="127" t="s">
        <v>85</v>
      </c>
      <c r="E1735" s="127">
        <v>4</v>
      </c>
      <c r="F1735" s="127">
        <v>0</v>
      </c>
      <c r="G1735" s="130" t="s">
        <v>90</v>
      </c>
    </row>
    <row r="1736" spans="2:7" x14ac:dyDescent="0.25">
      <c r="B1736" s="126" t="s">
        <v>163</v>
      </c>
      <c r="C1736" s="127">
        <v>23</v>
      </c>
      <c r="D1736" s="127" t="s">
        <v>83</v>
      </c>
      <c r="E1736" s="127">
        <v>2</v>
      </c>
      <c r="F1736" s="127">
        <v>0</v>
      </c>
      <c r="G1736" s="130" t="s">
        <v>92</v>
      </c>
    </row>
    <row r="1737" spans="2:7" x14ac:dyDescent="0.25">
      <c r="B1737" s="126" t="s">
        <v>163</v>
      </c>
      <c r="C1737" s="127">
        <v>23</v>
      </c>
      <c r="D1737" s="127" t="s">
        <v>88</v>
      </c>
      <c r="E1737" s="127">
        <v>0</v>
      </c>
      <c r="F1737" s="127">
        <v>5</v>
      </c>
      <c r="G1737" s="130" t="s">
        <v>161</v>
      </c>
    </row>
    <row r="1738" spans="2:7" x14ac:dyDescent="0.25">
      <c r="B1738" s="126" t="s">
        <v>163</v>
      </c>
      <c r="C1738" s="127">
        <v>23</v>
      </c>
      <c r="D1738" s="127" t="s">
        <v>79</v>
      </c>
      <c r="E1738" s="127">
        <v>3</v>
      </c>
      <c r="F1738" s="127">
        <v>2</v>
      </c>
      <c r="G1738" s="130" t="s">
        <v>148</v>
      </c>
    </row>
    <row r="1739" spans="2:7" x14ac:dyDescent="0.25">
      <c r="B1739" s="126" t="s">
        <v>163</v>
      </c>
      <c r="C1739" s="127">
        <v>23</v>
      </c>
      <c r="D1739" s="127" t="s">
        <v>84</v>
      </c>
      <c r="E1739" s="127">
        <v>1</v>
      </c>
      <c r="F1739" s="127">
        <v>2</v>
      </c>
      <c r="G1739" s="130" t="s">
        <v>162</v>
      </c>
    </row>
    <row r="1740" spans="2:7" x14ac:dyDescent="0.25">
      <c r="B1740" s="126" t="s">
        <v>163</v>
      </c>
      <c r="C1740" s="127">
        <v>24</v>
      </c>
      <c r="D1740" s="127" t="s">
        <v>86</v>
      </c>
      <c r="E1740" s="127"/>
      <c r="F1740" s="127"/>
      <c r="G1740" s="130" t="s">
        <v>79</v>
      </c>
    </row>
    <row r="1741" spans="2:7" x14ac:dyDescent="0.25">
      <c r="B1741" s="126" t="s">
        <v>163</v>
      </c>
      <c r="C1741" s="127">
        <v>24</v>
      </c>
      <c r="D1741" s="127" t="s">
        <v>81</v>
      </c>
      <c r="E1741" s="127"/>
      <c r="F1741" s="127"/>
      <c r="G1741" s="130" t="s">
        <v>83</v>
      </c>
    </row>
    <row r="1742" spans="2:7" x14ac:dyDescent="0.25">
      <c r="B1742" s="126" t="s">
        <v>163</v>
      </c>
      <c r="C1742" s="127">
        <v>24</v>
      </c>
      <c r="D1742" s="127" t="s">
        <v>92</v>
      </c>
      <c r="E1742" s="127"/>
      <c r="F1742" s="127"/>
      <c r="G1742" s="130" t="s">
        <v>82</v>
      </c>
    </row>
    <row r="1743" spans="2:7" x14ac:dyDescent="0.25">
      <c r="B1743" s="126" t="s">
        <v>163</v>
      </c>
      <c r="C1743" s="127">
        <v>24</v>
      </c>
      <c r="D1743" s="127" t="s">
        <v>162</v>
      </c>
      <c r="E1743" s="127"/>
      <c r="F1743" s="127"/>
      <c r="G1743" s="130" t="s">
        <v>85</v>
      </c>
    </row>
    <row r="1744" spans="2:7" x14ac:dyDescent="0.25">
      <c r="B1744" s="126" t="s">
        <v>163</v>
      </c>
      <c r="C1744" s="127">
        <v>24</v>
      </c>
      <c r="D1744" s="127" t="s">
        <v>87</v>
      </c>
      <c r="E1744" s="127"/>
      <c r="F1744" s="127"/>
      <c r="G1744" s="130" t="s">
        <v>84</v>
      </c>
    </row>
    <row r="1745" spans="2:7" x14ac:dyDescent="0.25">
      <c r="B1745" s="126" t="s">
        <v>163</v>
      </c>
      <c r="C1745" s="127">
        <v>24</v>
      </c>
      <c r="D1745" s="127" t="s">
        <v>89</v>
      </c>
      <c r="E1745" s="127"/>
      <c r="F1745" s="127"/>
      <c r="G1745" s="130" t="s">
        <v>88</v>
      </c>
    </row>
    <row r="1746" spans="2:7" x14ac:dyDescent="0.25">
      <c r="B1746" s="126" t="s">
        <v>163</v>
      </c>
      <c r="C1746" s="127">
        <v>24</v>
      </c>
      <c r="D1746" s="127" t="s">
        <v>80</v>
      </c>
      <c r="E1746" s="127"/>
      <c r="F1746" s="127"/>
      <c r="G1746" s="130" t="s">
        <v>91</v>
      </c>
    </row>
    <row r="1747" spans="2:7" x14ac:dyDescent="0.25">
      <c r="B1747" s="126" t="s">
        <v>163</v>
      </c>
      <c r="C1747" s="127">
        <v>24</v>
      </c>
      <c r="D1747" s="127" t="s">
        <v>161</v>
      </c>
      <c r="E1747" s="127"/>
      <c r="F1747" s="127"/>
      <c r="G1747" s="130" t="s">
        <v>93</v>
      </c>
    </row>
    <row r="1748" spans="2:7" x14ac:dyDescent="0.25">
      <c r="B1748" s="126" t="s">
        <v>163</v>
      </c>
      <c r="C1748" s="127">
        <v>24</v>
      </c>
      <c r="D1748" s="127" t="s">
        <v>90</v>
      </c>
      <c r="E1748" s="127"/>
      <c r="F1748" s="127"/>
      <c r="G1748" s="130" t="s">
        <v>148</v>
      </c>
    </row>
    <row r="1749" spans="2:7" x14ac:dyDescent="0.25">
      <c r="B1749" s="126" t="s">
        <v>163</v>
      </c>
      <c r="C1749" s="127">
        <v>25</v>
      </c>
      <c r="D1749" s="127" t="s">
        <v>82</v>
      </c>
      <c r="E1749" s="127"/>
      <c r="F1749" s="127"/>
      <c r="G1749" s="130" t="s">
        <v>80</v>
      </c>
    </row>
    <row r="1750" spans="2:7" x14ac:dyDescent="0.25">
      <c r="B1750" s="126" t="s">
        <v>163</v>
      </c>
      <c r="C1750" s="127">
        <v>25</v>
      </c>
      <c r="D1750" s="127" t="s">
        <v>85</v>
      </c>
      <c r="E1750" s="127"/>
      <c r="F1750" s="127"/>
      <c r="G1750" s="130" t="s">
        <v>81</v>
      </c>
    </row>
    <row r="1751" spans="2:7" x14ac:dyDescent="0.25">
      <c r="B1751" s="126" t="s">
        <v>163</v>
      </c>
      <c r="C1751" s="127">
        <v>25</v>
      </c>
      <c r="D1751" s="127" t="s">
        <v>83</v>
      </c>
      <c r="E1751" s="127"/>
      <c r="F1751" s="127"/>
      <c r="G1751" s="130" t="s">
        <v>84</v>
      </c>
    </row>
    <row r="1752" spans="2:7" x14ac:dyDescent="0.25">
      <c r="B1752" s="126" t="s">
        <v>163</v>
      </c>
      <c r="C1752" s="127">
        <v>25</v>
      </c>
      <c r="D1752" s="127" t="s">
        <v>88</v>
      </c>
      <c r="E1752" s="127"/>
      <c r="F1752" s="127"/>
      <c r="G1752" s="130" t="s">
        <v>87</v>
      </c>
    </row>
    <row r="1753" spans="2:7" x14ac:dyDescent="0.25">
      <c r="B1753" s="126" t="s">
        <v>163</v>
      </c>
      <c r="C1753" s="127">
        <v>25</v>
      </c>
      <c r="D1753" s="127" t="s">
        <v>93</v>
      </c>
      <c r="E1753" s="127"/>
      <c r="F1753" s="127"/>
      <c r="G1753" s="130" t="s">
        <v>86</v>
      </c>
    </row>
    <row r="1754" spans="2:7" x14ac:dyDescent="0.25">
      <c r="B1754" s="126" t="s">
        <v>163</v>
      </c>
      <c r="C1754" s="127">
        <v>25</v>
      </c>
      <c r="D1754" s="127" t="s">
        <v>90</v>
      </c>
      <c r="E1754" s="127"/>
      <c r="F1754" s="127"/>
      <c r="G1754" s="130" t="s">
        <v>89</v>
      </c>
    </row>
    <row r="1755" spans="2:7" x14ac:dyDescent="0.25">
      <c r="B1755" s="126" t="s">
        <v>163</v>
      </c>
      <c r="C1755" s="127">
        <v>25</v>
      </c>
      <c r="D1755" s="127" t="s">
        <v>79</v>
      </c>
      <c r="E1755" s="127"/>
      <c r="F1755" s="127"/>
      <c r="G1755" s="130" t="s">
        <v>92</v>
      </c>
    </row>
    <row r="1756" spans="2:7" x14ac:dyDescent="0.25">
      <c r="B1756" s="126" t="s">
        <v>163</v>
      </c>
      <c r="C1756" s="127">
        <v>25</v>
      </c>
      <c r="D1756" s="127" t="s">
        <v>148</v>
      </c>
      <c r="E1756" s="127"/>
      <c r="F1756" s="127"/>
      <c r="G1756" s="130" t="s">
        <v>161</v>
      </c>
    </row>
    <row r="1757" spans="2:7" x14ac:dyDescent="0.25">
      <c r="B1757" s="126" t="s">
        <v>163</v>
      </c>
      <c r="C1757" s="127">
        <v>25</v>
      </c>
      <c r="D1757" s="127" t="s">
        <v>91</v>
      </c>
      <c r="E1757" s="127"/>
      <c r="F1757" s="127"/>
      <c r="G1757" s="130" t="s">
        <v>162</v>
      </c>
    </row>
    <row r="1758" spans="2:7" x14ac:dyDescent="0.25">
      <c r="B1758" s="126" t="s">
        <v>163</v>
      </c>
      <c r="C1758" s="127">
        <v>26</v>
      </c>
      <c r="D1758" s="127" t="s">
        <v>162</v>
      </c>
      <c r="E1758" s="127"/>
      <c r="F1758" s="127"/>
      <c r="G1758" s="130" t="s">
        <v>79</v>
      </c>
    </row>
    <row r="1759" spans="2:7" x14ac:dyDescent="0.25">
      <c r="B1759" s="126" t="s">
        <v>163</v>
      </c>
      <c r="C1759" s="127">
        <v>26</v>
      </c>
      <c r="D1759" s="127" t="s">
        <v>87</v>
      </c>
      <c r="E1759" s="127"/>
      <c r="F1759" s="127"/>
      <c r="G1759" s="130" t="s">
        <v>83</v>
      </c>
    </row>
    <row r="1760" spans="2:7" x14ac:dyDescent="0.25">
      <c r="B1760" s="126" t="s">
        <v>163</v>
      </c>
      <c r="C1760" s="127">
        <v>26</v>
      </c>
      <c r="D1760" s="127" t="s">
        <v>84</v>
      </c>
      <c r="E1760" s="127"/>
      <c r="F1760" s="127"/>
      <c r="G1760" s="130" t="s">
        <v>82</v>
      </c>
    </row>
    <row r="1761" spans="2:7" x14ac:dyDescent="0.25">
      <c r="B1761" s="126" t="s">
        <v>163</v>
      </c>
      <c r="C1761" s="127">
        <v>26</v>
      </c>
      <c r="D1761" s="127" t="s">
        <v>92</v>
      </c>
      <c r="E1761" s="127"/>
      <c r="F1761" s="127"/>
      <c r="G1761" s="130" t="s">
        <v>85</v>
      </c>
    </row>
    <row r="1762" spans="2:7" x14ac:dyDescent="0.25">
      <c r="B1762" s="126" t="s">
        <v>163</v>
      </c>
      <c r="C1762" s="127">
        <v>26</v>
      </c>
      <c r="D1762" s="127" t="s">
        <v>86</v>
      </c>
      <c r="E1762" s="127"/>
      <c r="F1762" s="127"/>
      <c r="G1762" s="130" t="s">
        <v>88</v>
      </c>
    </row>
    <row r="1763" spans="2:7" x14ac:dyDescent="0.25">
      <c r="B1763" s="126" t="s">
        <v>163</v>
      </c>
      <c r="C1763" s="127">
        <v>26</v>
      </c>
      <c r="D1763" s="127" t="s">
        <v>161</v>
      </c>
      <c r="E1763" s="127"/>
      <c r="F1763" s="127"/>
      <c r="G1763" s="130" t="s">
        <v>90</v>
      </c>
    </row>
    <row r="1764" spans="2:7" x14ac:dyDescent="0.25">
      <c r="B1764" s="126" t="s">
        <v>163</v>
      </c>
      <c r="C1764" s="127">
        <v>26</v>
      </c>
      <c r="D1764" s="127" t="s">
        <v>81</v>
      </c>
      <c r="E1764" s="127"/>
      <c r="F1764" s="127"/>
      <c r="G1764" s="130" t="s">
        <v>91</v>
      </c>
    </row>
    <row r="1765" spans="2:7" x14ac:dyDescent="0.25">
      <c r="B1765" s="126" t="s">
        <v>163</v>
      </c>
      <c r="C1765" s="127">
        <v>26</v>
      </c>
      <c r="D1765" s="127" t="s">
        <v>80</v>
      </c>
      <c r="E1765" s="127"/>
      <c r="F1765" s="127"/>
      <c r="G1765" s="130" t="s">
        <v>93</v>
      </c>
    </row>
    <row r="1766" spans="2:7" x14ac:dyDescent="0.25">
      <c r="B1766" s="126" t="s">
        <v>163</v>
      </c>
      <c r="C1766" s="127">
        <v>26</v>
      </c>
      <c r="D1766" s="127" t="s">
        <v>89</v>
      </c>
      <c r="E1766" s="127"/>
      <c r="F1766" s="127"/>
      <c r="G1766" s="130" t="s">
        <v>148</v>
      </c>
    </row>
    <row r="1767" spans="2:7" x14ac:dyDescent="0.25">
      <c r="B1767" s="126" t="s">
        <v>163</v>
      </c>
      <c r="C1767" s="127">
        <v>27</v>
      </c>
      <c r="D1767" s="127" t="s">
        <v>85</v>
      </c>
      <c r="E1767" s="127"/>
      <c r="F1767" s="127"/>
      <c r="G1767" s="130" t="s">
        <v>80</v>
      </c>
    </row>
    <row r="1768" spans="2:7" x14ac:dyDescent="0.25">
      <c r="B1768" s="126" t="s">
        <v>163</v>
      </c>
      <c r="C1768" s="127">
        <v>27</v>
      </c>
      <c r="D1768" s="127" t="s">
        <v>90</v>
      </c>
      <c r="E1768" s="127"/>
      <c r="F1768" s="127"/>
      <c r="G1768" s="130" t="s">
        <v>81</v>
      </c>
    </row>
    <row r="1769" spans="2:7" x14ac:dyDescent="0.25">
      <c r="B1769" s="126" t="s">
        <v>163</v>
      </c>
      <c r="C1769" s="127">
        <v>27</v>
      </c>
      <c r="D1769" s="127" t="s">
        <v>82</v>
      </c>
      <c r="E1769" s="127"/>
      <c r="F1769" s="127"/>
      <c r="G1769" s="130" t="s">
        <v>83</v>
      </c>
    </row>
    <row r="1770" spans="2:7" x14ac:dyDescent="0.25">
      <c r="B1770" s="126" t="s">
        <v>163</v>
      </c>
      <c r="C1770" s="127">
        <v>27</v>
      </c>
      <c r="D1770" s="127" t="s">
        <v>79</v>
      </c>
      <c r="E1770" s="127"/>
      <c r="F1770" s="127"/>
      <c r="G1770" s="130" t="s">
        <v>84</v>
      </c>
    </row>
    <row r="1771" spans="2:7" x14ac:dyDescent="0.25">
      <c r="B1771" s="126" t="s">
        <v>163</v>
      </c>
      <c r="C1771" s="127">
        <v>27</v>
      </c>
      <c r="D1771" s="127" t="s">
        <v>91</v>
      </c>
      <c r="E1771" s="127"/>
      <c r="F1771" s="127"/>
      <c r="G1771" s="130" t="s">
        <v>87</v>
      </c>
    </row>
    <row r="1772" spans="2:7" x14ac:dyDescent="0.25">
      <c r="B1772" s="126" t="s">
        <v>163</v>
      </c>
      <c r="C1772" s="127">
        <v>27</v>
      </c>
      <c r="D1772" s="127" t="s">
        <v>148</v>
      </c>
      <c r="E1772" s="127"/>
      <c r="F1772" s="127"/>
      <c r="G1772" s="130" t="s">
        <v>86</v>
      </c>
    </row>
    <row r="1773" spans="2:7" x14ac:dyDescent="0.25">
      <c r="B1773" s="126" t="s">
        <v>163</v>
      </c>
      <c r="C1773" s="127">
        <v>27</v>
      </c>
      <c r="D1773" s="127" t="s">
        <v>161</v>
      </c>
      <c r="E1773" s="127"/>
      <c r="F1773" s="127"/>
      <c r="G1773" s="130" t="s">
        <v>89</v>
      </c>
    </row>
    <row r="1774" spans="2:7" x14ac:dyDescent="0.25">
      <c r="B1774" s="126" t="s">
        <v>163</v>
      </c>
      <c r="C1774" s="127">
        <v>27</v>
      </c>
      <c r="D1774" s="127" t="s">
        <v>93</v>
      </c>
      <c r="E1774" s="127"/>
      <c r="F1774" s="127"/>
      <c r="G1774" s="130" t="s">
        <v>92</v>
      </c>
    </row>
    <row r="1775" spans="2:7" x14ac:dyDescent="0.25">
      <c r="B1775" s="126" t="s">
        <v>163</v>
      </c>
      <c r="C1775" s="127">
        <v>27</v>
      </c>
      <c r="D1775" s="127" t="s">
        <v>88</v>
      </c>
      <c r="E1775" s="127"/>
      <c r="F1775" s="127"/>
      <c r="G1775" s="130" t="s">
        <v>162</v>
      </c>
    </row>
    <row r="1776" spans="2:7" x14ac:dyDescent="0.25">
      <c r="B1776" s="126" t="s">
        <v>163</v>
      </c>
      <c r="C1776" s="127">
        <v>28</v>
      </c>
      <c r="D1776" s="127" t="s">
        <v>80</v>
      </c>
      <c r="E1776" s="127"/>
      <c r="F1776" s="127"/>
      <c r="G1776" s="130" t="s">
        <v>79</v>
      </c>
    </row>
    <row r="1777" spans="2:7" x14ac:dyDescent="0.25">
      <c r="B1777" s="126" t="s">
        <v>163</v>
      </c>
      <c r="C1777" s="127">
        <v>28</v>
      </c>
      <c r="D1777" s="127" t="s">
        <v>87</v>
      </c>
      <c r="E1777" s="127"/>
      <c r="F1777" s="127"/>
      <c r="G1777" s="130" t="s">
        <v>82</v>
      </c>
    </row>
    <row r="1778" spans="2:7" x14ac:dyDescent="0.25">
      <c r="B1778" s="126" t="s">
        <v>163</v>
      </c>
      <c r="C1778" s="127">
        <v>28</v>
      </c>
      <c r="D1778" s="127" t="s">
        <v>83</v>
      </c>
      <c r="E1778" s="127"/>
      <c r="F1778" s="127"/>
      <c r="G1778" s="130" t="s">
        <v>85</v>
      </c>
    </row>
    <row r="1779" spans="2:7" x14ac:dyDescent="0.25">
      <c r="B1779" s="126" t="s">
        <v>163</v>
      </c>
      <c r="C1779" s="127">
        <v>28</v>
      </c>
      <c r="D1779" s="127" t="s">
        <v>81</v>
      </c>
      <c r="E1779" s="127"/>
      <c r="F1779" s="127"/>
      <c r="G1779" s="130" t="s">
        <v>88</v>
      </c>
    </row>
    <row r="1780" spans="2:7" x14ac:dyDescent="0.25">
      <c r="B1780" s="126" t="s">
        <v>163</v>
      </c>
      <c r="C1780" s="127">
        <v>28</v>
      </c>
      <c r="D1780" s="127" t="s">
        <v>162</v>
      </c>
      <c r="E1780" s="127"/>
      <c r="F1780" s="127"/>
      <c r="G1780" s="130" t="s">
        <v>90</v>
      </c>
    </row>
    <row r="1781" spans="2:7" x14ac:dyDescent="0.25">
      <c r="B1781" s="126" t="s">
        <v>163</v>
      </c>
      <c r="C1781" s="127">
        <v>28</v>
      </c>
      <c r="D1781" s="127" t="s">
        <v>84</v>
      </c>
      <c r="E1781" s="127"/>
      <c r="F1781" s="127"/>
      <c r="G1781" s="130" t="s">
        <v>91</v>
      </c>
    </row>
    <row r="1782" spans="2:7" x14ac:dyDescent="0.25">
      <c r="B1782" s="126" t="s">
        <v>163</v>
      </c>
      <c r="C1782" s="127">
        <v>28</v>
      </c>
      <c r="D1782" s="127" t="s">
        <v>89</v>
      </c>
      <c r="E1782" s="127"/>
      <c r="F1782" s="127"/>
      <c r="G1782" s="130" t="s">
        <v>93</v>
      </c>
    </row>
    <row r="1783" spans="2:7" x14ac:dyDescent="0.25">
      <c r="B1783" s="126" t="s">
        <v>163</v>
      </c>
      <c r="C1783" s="127">
        <v>28</v>
      </c>
      <c r="D1783" s="127" t="s">
        <v>86</v>
      </c>
      <c r="E1783" s="127"/>
      <c r="F1783" s="127"/>
      <c r="G1783" s="130" t="s">
        <v>161</v>
      </c>
    </row>
    <row r="1784" spans="2:7" x14ac:dyDescent="0.25">
      <c r="B1784" s="126" t="s">
        <v>163</v>
      </c>
      <c r="C1784" s="127">
        <v>28</v>
      </c>
      <c r="D1784" s="127" t="s">
        <v>92</v>
      </c>
      <c r="E1784" s="127"/>
      <c r="F1784" s="127"/>
      <c r="G1784" s="130" t="s">
        <v>148</v>
      </c>
    </row>
    <row r="1785" spans="2:7" x14ac:dyDescent="0.25">
      <c r="B1785" s="126" t="s">
        <v>163</v>
      </c>
      <c r="C1785" s="127">
        <v>29</v>
      </c>
      <c r="D1785" s="127" t="s">
        <v>148</v>
      </c>
      <c r="E1785" s="127"/>
      <c r="F1785" s="127"/>
      <c r="G1785" s="130" t="s">
        <v>80</v>
      </c>
    </row>
    <row r="1786" spans="2:7" x14ac:dyDescent="0.25">
      <c r="B1786" s="126" t="s">
        <v>163</v>
      </c>
      <c r="C1786" s="127">
        <v>29</v>
      </c>
      <c r="D1786" s="127" t="s">
        <v>161</v>
      </c>
      <c r="E1786" s="127"/>
      <c r="F1786" s="127"/>
      <c r="G1786" s="130" t="s">
        <v>81</v>
      </c>
    </row>
    <row r="1787" spans="2:7" x14ac:dyDescent="0.25">
      <c r="B1787" s="126" t="s">
        <v>163</v>
      </c>
      <c r="C1787" s="127">
        <v>29</v>
      </c>
      <c r="D1787" s="127" t="s">
        <v>91</v>
      </c>
      <c r="E1787" s="127"/>
      <c r="F1787" s="127"/>
      <c r="G1787" s="130" t="s">
        <v>83</v>
      </c>
    </row>
    <row r="1788" spans="2:7" x14ac:dyDescent="0.25">
      <c r="B1788" s="126" t="s">
        <v>163</v>
      </c>
      <c r="C1788" s="127">
        <v>29</v>
      </c>
      <c r="D1788" s="127" t="s">
        <v>85</v>
      </c>
      <c r="E1788" s="127"/>
      <c r="F1788" s="127"/>
      <c r="G1788" s="130" t="s">
        <v>84</v>
      </c>
    </row>
    <row r="1789" spans="2:7" x14ac:dyDescent="0.25">
      <c r="B1789" s="126" t="s">
        <v>163</v>
      </c>
      <c r="C1789" s="127">
        <v>29</v>
      </c>
      <c r="D1789" s="127" t="s">
        <v>93</v>
      </c>
      <c r="E1789" s="127"/>
      <c r="F1789" s="127"/>
      <c r="G1789" s="130" t="s">
        <v>87</v>
      </c>
    </row>
    <row r="1790" spans="2:7" x14ac:dyDescent="0.25">
      <c r="B1790" s="126" t="s">
        <v>163</v>
      </c>
      <c r="C1790" s="127">
        <v>29</v>
      </c>
      <c r="D1790" s="127" t="s">
        <v>90</v>
      </c>
      <c r="E1790" s="127"/>
      <c r="F1790" s="127"/>
      <c r="G1790" s="130" t="s">
        <v>86</v>
      </c>
    </row>
    <row r="1791" spans="2:7" x14ac:dyDescent="0.25">
      <c r="B1791" s="126" t="s">
        <v>163</v>
      </c>
      <c r="C1791" s="127">
        <v>29</v>
      </c>
      <c r="D1791" s="127" t="s">
        <v>79</v>
      </c>
      <c r="E1791" s="127"/>
      <c r="F1791" s="127"/>
      <c r="G1791" s="130" t="s">
        <v>89</v>
      </c>
    </row>
    <row r="1792" spans="2:7" x14ac:dyDescent="0.25">
      <c r="B1792" s="126" t="s">
        <v>163</v>
      </c>
      <c r="C1792" s="127">
        <v>29</v>
      </c>
      <c r="D1792" s="127" t="s">
        <v>88</v>
      </c>
      <c r="E1792" s="127"/>
      <c r="F1792" s="127"/>
      <c r="G1792" s="130" t="s">
        <v>92</v>
      </c>
    </row>
    <row r="1793" spans="2:7" x14ac:dyDescent="0.25">
      <c r="B1793" s="126" t="s">
        <v>163</v>
      </c>
      <c r="C1793" s="127">
        <v>29</v>
      </c>
      <c r="D1793" s="127" t="s">
        <v>82</v>
      </c>
      <c r="E1793" s="127"/>
      <c r="F1793" s="127"/>
      <c r="G1793" s="130" t="s">
        <v>162</v>
      </c>
    </row>
    <row r="1794" spans="2:7" x14ac:dyDescent="0.25">
      <c r="B1794" s="126" t="s">
        <v>163</v>
      </c>
      <c r="C1794" s="127">
        <v>30</v>
      </c>
      <c r="D1794" s="127" t="s">
        <v>83</v>
      </c>
      <c r="E1794" s="127"/>
      <c r="F1794" s="127"/>
      <c r="G1794" s="130" t="s">
        <v>79</v>
      </c>
    </row>
    <row r="1795" spans="2:7" x14ac:dyDescent="0.25">
      <c r="B1795" s="126" t="s">
        <v>163</v>
      </c>
      <c r="C1795" s="127">
        <v>30</v>
      </c>
      <c r="D1795" s="127" t="s">
        <v>91</v>
      </c>
      <c r="E1795" s="127"/>
      <c r="F1795" s="127"/>
      <c r="G1795" s="130" t="s">
        <v>82</v>
      </c>
    </row>
    <row r="1796" spans="2:7" x14ac:dyDescent="0.25">
      <c r="B1796" s="126" t="s">
        <v>163</v>
      </c>
      <c r="C1796" s="127">
        <v>30</v>
      </c>
      <c r="D1796" s="127" t="s">
        <v>87</v>
      </c>
      <c r="E1796" s="127"/>
      <c r="F1796" s="127"/>
      <c r="G1796" s="130" t="s">
        <v>85</v>
      </c>
    </row>
    <row r="1797" spans="2:7" x14ac:dyDescent="0.25">
      <c r="B1797" s="126" t="s">
        <v>163</v>
      </c>
      <c r="C1797" s="127">
        <v>30</v>
      </c>
      <c r="D1797" s="127" t="s">
        <v>89</v>
      </c>
      <c r="E1797" s="127"/>
      <c r="F1797" s="127"/>
      <c r="G1797" s="130" t="s">
        <v>86</v>
      </c>
    </row>
    <row r="1798" spans="2:7" x14ac:dyDescent="0.25">
      <c r="B1798" s="126" t="s">
        <v>163</v>
      </c>
      <c r="C1798" s="127">
        <v>30</v>
      </c>
      <c r="D1798" s="127" t="s">
        <v>80</v>
      </c>
      <c r="E1798" s="127"/>
      <c r="F1798" s="127"/>
      <c r="G1798" s="130" t="s">
        <v>88</v>
      </c>
    </row>
    <row r="1799" spans="2:7" x14ac:dyDescent="0.25">
      <c r="B1799" s="126" t="s">
        <v>163</v>
      </c>
      <c r="C1799" s="127">
        <v>30</v>
      </c>
      <c r="D1799" s="127" t="s">
        <v>84</v>
      </c>
      <c r="E1799" s="127"/>
      <c r="F1799" s="127"/>
      <c r="G1799" s="130" t="s">
        <v>90</v>
      </c>
    </row>
    <row r="1800" spans="2:7" x14ac:dyDescent="0.25">
      <c r="B1800" s="126" t="s">
        <v>163</v>
      </c>
      <c r="C1800" s="127">
        <v>30</v>
      </c>
      <c r="D1800" s="127" t="s">
        <v>162</v>
      </c>
      <c r="E1800" s="127"/>
      <c r="F1800" s="127"/>
      <c r="G1800" s="130" t="s">
        <v>93</v>
      </c>
    </row>
    <row r="1801" spans="2:7" x14ac:dyDescent="0.25">
      <c r="B1801" s="126" t="s">
        <v>163</v>
      </c>
      <c r="C1801" s="127">
        <v>30</v>
      </c>
      <c r="D1801" s="127" t="s">
        <v>92</v>
      </c>
      <c r="E1801" s="127"/>
      <c r="F1801" s="127"/>
      <c r="G1801" s="130" t="s">
        <v>161</v>
      </c>
    </row>
    <row r="1802" spans="2:7" x14ac:dyDescent="0.25">
      <c r="B1802" s="126" t="s">
        <v>163</v>
      </c>
      <c r="C1802" s="127">
        <v>30</v>
      </c>
      <c r="D1802" s="127" t="s">
        <v>81</v>
      </c>
      <c r="E1802" s="127"/>
      <c r="F1802" s="127"/>
      <c r="G1802" s="130" t="s">
        <v>148</v>
      </c>
    </row>
    <row r="1803" spans="2:7" x14ac:dyDescent="0.25">
      <c r="B1803" s="126" t="s">
        <v>163</v>
      </c>
      <c r="C1803" s="127">
        <v>31</v>
      </c>
      <c r="D1803" s="127" t="s">
        <v>89</v>
      </c>
      <c r="E1803" s="127"/>
      <c r="F1803" s="127"/>
      <c r="G1803" s="130" t="s">
        <v>80</v>
      </c>
    </row>
    <row r="1804" spans="2:7" x14ac:dyDescent="0.25">
      <c r="B1804" s="126" t="s">
        <v>163</v>
      </c>
      <c r="C1804" s="127">
        <v>31</v>
      </c>
      <c r="D1804" s="127" t="s">
        <v>86</v>
      </c>
      <c r="E1804" s="127"/>
      <c r="F1804" s="127"/>
      <c r="G1804" s="130" t="s">
        <v>81</v>
      </c>
    </row>
    <row r="1805" spans="2:7" x14ac:dyDescent="0.25">
      <c r="B1805" s="126" t="s">
        <v>163</v>
      </c>
      <c r="C1805" s="127">
        <v>31</v>
      </c>
      <c r="D1805" s="127" t="s">
        <v>93</v>
      </c>
      <c r="E1805" s="127"/>
      <c r="F1805" s="127"/>
      <c r="G1805" s="130" t="s">
        <v>83</v>
      </c>
    </row>
    <row r="1806" spans="2:7" x14ac:dyDescent="0.25">
      <c r="B1806" s="126" t="s">
        <v>163</v>
      </c>
      <c r="C1806" s="127">
        <v>31</v>
      </c>
      <c r="D1806" s="127" t="s">
        <v>79</v>
      </c>
      <c r="E1806" s="127"/>
      <c r="F1806" s="127"/>
      <c r="G1806" s="130" t="s">
        <v>82</v>
      </c>
    </row>
    <row r="1807" spans="2:7" x14ac:dyDescent="0.25">
      <c r="B1807" s="126" t="s">
        <v>163</v>
      </c>
      <c r="C1807" s="127">
        <v>31</v>
      </c>
      <c r="D1807" s="127" t="s">
        <v>88</v>
      </c>
      <c r="E1807" s="127"/>
      <c r="F1807" s="127"/>
      <c r="G1807" s="130" t="s">
        <v>84</v>
      </c>
    </row>
    <row r="1808" spans="2:7" x14ac:dyDescent="0.25">
      <c r="B1808" s="126" t="s">
        <v>163</v>
      </c>
      <c r="C1808" s="127">
        <v>31</v>
      </c>
      <c r="D1808" s="127" t="s">
        <v>148</v>
      </c>
      <c r="E1808" s="127"/>
      <c r="F1808" s="127"/>
      <c r="G1808" s="130" t="s">
        <v>87</v>
      </c>
    </row>
    <row r="1809" spans="2:7" x14ac:dyDescent="0.25">
      <c r="B1809" s="126" t="s">
        <v>163</v>
      </c>
      <c r="C1809" s="127">
        <v>31</v>
      </c>
      <c r="D1809" s="127" t="s">
        <v>85</v>
      </c>
      <c r="E1809" s="127"/>
      <c r="F1809" s="127"/>
      <c r="G1809" s="130" t="s">
        <v>91</v>
      </c>
    </row>
    <row r="1810" spans="2:7" x14ac:dyDescent="0.25">
      <c r="B1810" s="126" t="s">
        <v>163</v>
      </c>
      <c r="C1810" s="127">
        <v>31</v>
      </c>
      <c r="D1810" s="127" t="s">
        <v>90</v>
      </c>
      <c r="E1810" s="127"/>
      <c r="F1810" s="127"/>
      <c r="G1810" s="130" t="s">
        <v>92</v>
      </c>
    </row>
    <row r="1811" spans="2:7" x14ac:dyDescent="0.25">
      <c r="B1811" s="126" t="s">
        <v>163</v>
      </c>
      <c r="C1811" s="127">
        <v>31</v>
      </c>
      <c r="D1811" s="127" t="s">
        <v>161</v>
      </c>
      <c r="E1811" s="127"/>
      <c r="F1811" s="127"/>
      <c r="G1811" s="130" t="s">
        <v>162</v>
      </c>
    </row>
    <row r="1812" spans="2:7" x14ac:dyDescent="0.25">
      <c r="B1812" s="126" t="s">
        <v>163</v>
      </c>
      <c r="C1812" s="127">
        <v>32</v>
      </c>
      <c r="D1812" s="127" t="s">
        <v>87</v>
      </c>
      <c r="E1812" s="127"/>
      <c r="F1812" s="127"/>
      <c r="G1812" s="130" t="s">
        <v>79</v>
      </c>
    </row>
    <row r="1813" spans="2:7" x14ac:dyDescent="0.25">
      <c r="B1813" s="126" t="s">
        <v>163</v>
      </c>
      <c r="C1813" s="127">
        <v>32</v>
      </c>
      <c r="D1813" s="127" t="s">
        <v>82</v>
      </c>
      <c r="E1813" s="127"/>
      <c r="F1813" s="127"/>
      <c r="G1813" s="130" t="s">
        <v>85</v>
      </c>
    </row>
    <row r="1814" spans="2:7" x14ac:dyDescent="0.25">
      <c r="B1814" s="126" t="s">
        <v>163</v>
      </c>
      <c r="C1814" s="127">
        <v>32</v>
      </c>
      <c r="D1814" s="127" t="s">
        <v>92</v>
      </c>
      <c r="E1814" s="127"/>
      <c r="F1814" s="127"/>
      <c r="G1814" s="130" t="s">
        <v>86</v>
      </c>
    </row>
    <row r="1815" spans="2:7" x14ac:dyDescent="0.25">
      <c r="B1815" s="126" t="s">
        <v>163</v>
      </c>
      <c r="C1815" s="127">
        <v>32</v>
      </c>
      <c r="D1815" s="127" t="s">
        <v>81</v>
      </c>
      <c r="E1815" s="127"/>
      <c r="F1815" s="127"/>
      <c r="G1815" s="130" t="s">
        <v>89</v>
      </c>
    </row>
    <row r="1816" spans="2:7" x14ac:dyDescent="0.25">
      <c r="B1816" s="126" t="s">
        <v>163</v>
      </c>
      <c r="C1816" s="127">
        <v>32</v>
      </c>
      <c r="D1816" s="127" t="s">
        <v>91</v>
      </c>
      <c r="E1816" s="127"/>
      <c r="F1816" s="127"/>
      <c r="G1816" s="130" t="s">
        <v>88</v>
      </c>
    </row>
    <row r="1817" spans="2:7" x14ac:dyDescent="0.25">
      <c r="B1817" s="126" t="s">
        <v>163</v>
      </c>
      <c r="C1817" s="127">
        <v>32</v>
      </c>
      <c r="D1817" s="127" t="s">
        <v>80</v>
      </c>
      <c r="E1817" s="127"/>
      <c r="F1817" s="127"/>
      <c r="G1817" s="130" t="s">
        <v>90</v>
      </c>
    </row>
    <row r="1818" spans="2:7" x14ac:dyDescent="0.25">
      <c r="B1818" s="126" t="s">
        <v>163</v>
      </c>
      <c r="C1818" s="127">
        <v>32</v>
      </c>
      <c r="D1818" s="127" t="s">
        <v>84</v>
      </c>
      <c r="E1818" s="127"/>
      <c r="F1818" s="127"/>
      <c r="G1818" s="130" t="s">
        <v>93</v>
      </c>
    </row>
    <row r="1819" spans="2:7" x14ac:dyDescent="0.25">
      <c r="B1819" s="126" t="s">
        <v>163</v>
      </c>
      <c r="C1819" s="127">
        <v>32</v>
      </c>
      <c r="D1819" s="127" t="s">
        <v>83</v>
      </c>
      <c r="E1819" s="127"/>
      <c r="F1819" s="127"/>
      <c r="G1819" s="130" t="s">
        <v>161</v>
      </c>
    </row>
    <row r="1820" spans="2:7" x14ac:dyDescent="0.25">
      <c r="B1820" s="126" t="s">
        <v>163</v>
      </c>
      <c r="C1820" s="127">
        <v>32</v>
      </c>
      <c r="D1820" s="127" t="s">
        <v>162</v>
      </c>
      <c r="E1820" s="127"/>
      <c r="F1820" s="127"/>
      <c r="G1820" s="130" t="s">
        <v>148</v>
      </c>
    </row>
    <row r="1821" spans="2:7" x14ac:dyDescent="0.25">
      <c r="B1821" s="126" t="s">
        <v>163</v>
      </c>
      <c r="C1821" s="127">
        <v>33</v>
      </c>
      <c r="D1821" s="127" t="s">
        <v>81</v>
      </c>
      <c r="E1821" s="127"/>
      <c r="F1821" s="127"/>
      <c r="G1821" s="130" t="s">
        <v>80</v>
      </c>
    </row>
    <row r="1822" spans="2:7" x14ac:dyDescent="0.25">
      <c r="B1822" s="126" t="s">
        <v>163</v>
      </c>
      <c r="C1822" s="127">
        <v>33</v>
      </c>
      <c r="D1822" s="127" t="s">
        <v>88</v>
      </c>
      <c r="E1822" s="127"/>
      <c r="F1822" s="127"/>
      <c r="G1822" s="130" t="s">
        <v>83</v>
      </c>
    </row>
    <row r="1823" spans="2:7" x14ac:dyDescent="0.25">
      <c r="B1823" s="126" t="s">
        <v>163</v>
      </c>
      <c r="C1823" s="127">
        <v>33</v>
      </c>
      <c r="D1823" s="127" t="s">
        <v>148</v>
      </c>
      <c r="E1823" s="127"/>
      <c r="F1823" s="127"/>
      <c r="G1823" s="130" t="s">
        <v>82</v>
      </c>
    </row>
    <row r="1824" spans="2:7" x14ac:dyDescent="0.25">
      <c r="B1824" s="126" t="s">
        <v>163</v>
      </c>
      <c r="C1824" s="127">
        <v>33</v>
      </c>
      <c r="D1824" s="127" t="s">
        <v>93</v>
      </c>
      <c r="E1824" s="127"/>
      <c r="F1824" s="127"/>
      <c r="G1824" s="130" t="s">
        <v>85</v>
      </c>
    </row>
    <row r="1825" spans="2:7" x14ac:dyDescent="0.25">
      <c r="B1825" s="126" t="s">
        <v>163</v>
      </c>
      <c r="C1825" s="127">
        <v>33</v>
      </c>
      <c r="D1825" s="127" t="s">
        <v>161</v>
      </c>
      <c r="E1825" s="127"/>
      <c r="F1825" s="127"/>
      <c r="G1825" s="130" t="s">
        <v>84</v>
      </c>
    </row>
    <row r="1826" spans="2:7" x14ac:dyDescent="0.25">
      <c r="B1826" s="126" t="s">
        <v>163</v>
      </c>
      <c r="C1826" s="127">
        <v>33</v>
      </c>
      <c r="D1826" s="127" t="s">
        <v>90</v>
      </c>
      <c r="E1826" s="127"/>
      <c r="F1826" s="127"/>
      <c r="G1826" s="130" t="s">
        <v>87</v>
      </c>
    </row>
    <row r="1827" spans="2:7" x14ac:dyDescent="0.25">
      <c r="B1827" s="126" t="s">
        <v>163</v>
      </c>
      <c r="C1827" s="127">
        <v>33</v>
      </c>
      <c r="D1827" s="127" t="s">
        <v>79</v>
      </c>
      <c r="E1827" s="127"/>
      <c r="F1827" s="127"/>
      <c r="G1827" s="130" t="s">
        <v>91</v>
      </c>
    </row>
    <row r="1828" spans="2:7" x14ac:dyDescent="0.25">
      <c r="B1828" s="126" t="s">
        <v>163</v>
      </c>
      <c r="C1828" s="127">
        <v>33</v>
      </c>
      <c r="D1828" s="127" t="s">
        <v>89</v>
      </c>
      <c r="E1828" s="127"/>
      <c r="F1828" s="127"/>
      <c r="G1828" s="130" t="s">
        <v>92</v>
      </c>
    </row>
    <row r="1829" spans="2:7" x14ac:dyDescent="0.25">
      <c r="B1829" s="126" t="s">
        <v>163</v>
      </c>
      <c r="C1829" s="127">
        <v>33</v>
      </c>
      <c r="D1829" s="127" t="s">
        <v>86</v>
      </c>
      <c r="E1829" s="127"/>
      <c r="F1829" s="127"/>
      <c r="G1829" s="130" t="s">
        <v>162</v>
      </c>
    </row>
    <row r="1830" spans="2:7" x14ac:dyDescent="0.25">
      <c r="B1830" s="126" t="s">
        <v>163</v>
      </c>
      <c r="C1830" s="127">
        <v>34</v>
      </c>
      <c r="D1830" s="127" t="s">
        <v>85</v>
      </c>
      <c r="E1830" s="127"/>
      <c r="F1830" s="127"/>
      <c r="G1830" s="130" t="s">
        <v>79</v>
      </c>
    </row>
    <row r="1831" spans="2:7" x14ac:dyDescent="0.25">
      <c r="B1831" s="126" t="s">
        <v>163</v>
      </c>
      <c r="C1831" s="127">
        <v>34</v>
      </c>
      <c r="D1831" s="127" t="s">
        <v>92</v>
      </c>
      <c r="E1831" s="127"/>
      <c r="F1831" s="127"/>
      <c r="G1831" s="130" t="s">
        <v>81</v>
      </c>
    </row>
    <row r="1832" spans="2:7" x14ac:dyDescent="0.25">
      <c r="B1832" s="126" t="s">
        <v>163</v>
      </c>
      <c r="C1832" s="127">
        <v>34</v>
      </c>
      <c r="D1832" s="127" t="s">
        <v>80</v>
      </c>
      <c r="E1832" s="127"/>
      <c r="F1832" s="127"/>
      <c r="G1832" s="130" t="s">
        <v>86</v>
      </c>
    </row>
    <row r="1833" spans="2:7" x14ac:dyDescent="0.25">
      <c r="B1833" s="126" t="s">
        <v>163</v>
      </c>
      <c r="C1833" s="127">
        <v>34</v>
      </c>
      <c r="D1833" s="127" t="s">
        <v>162</v>
      </c>
      <c r="E1833" s="127"/>
      <c r="F1833" s="127"/>
      <c r="G1833" s="130" t="s">
        <v>89</v>
      </c>
    </row>
    <row r="1834" spans="2:7" x14ac:dyDescent="0.25">
      <c r="B1834" s="126" t="s">
        <v>163</v>
      </c>
      <c r="C1834" s="127">
        <v>34</v>
      </c>
      <c r="D1834" s="127" t="s">
        <v>82</v>
      </c>
      <c r="E1834" s="127"/>
      <c r="F1834" s="127"/>
      <c r="G1834" s="130" t="s">
        <v>88</v>
      </c>
    </row>
    <row r="1835" spans="2:7" x14ac:dyDescent="0.25">
      <c r="B1835" s="126" t="s">
        <v>163</v>
      </c>
      <c r="C1835" s="127">
        <v>34</v>
      </c>
      <c r="D1835" s="127" t="s">
        <v>83</v>
      </c>
      <c r="E1835" s="127"/>
      <c r="F1835" s="127"/>
      <c r="G1835" s="130" t="s">
        <v>90</v>
      </c>
    </row>
    <row r="1836" spans="2:7" x14ac:dyDescent="0.25">
      <c r="B1836" s="126" t="s">
        <v>163</v>
      </c>
      <c r="C1836" s="127">
        <v>34</v>
      </c>
      <c r="D1836" s="127" t="s">
        <v>91</v>
      </c>
      <c r="E1836" s="127"/>
      <c r="F1836" s="127"/>
      <c r="G1836" s="130" t="s">
        <v>93</v>
      </c>
    </row>
    <row r="1837" spans="2:7" x14ac:dyDescent="0.25">
      <c r="B1837" s="126" t="s">
        <v>163</v>
      </c>
      <c r="C1837" s="127">
        <v>34</v>
      </c>
      <c r="D1837" s="127" t="s">
        <v>87</v>
      </c>
      <c r="E1837" s="127"/>
      <c r="F1837" s="127"/>
      <c r="G1837" s="130" t="s">
        <v>161</v>
      </c>
    </row>
    <row r="1838" spans="2:7" x14ac:dyDescent="0.25">
      <c r="B1838" s="126" t="s">
        <v>163</v>
      </c>
      <c r="C1838" s="127">
        <v>34</v>
      </c>
      <c r="D1838" s="127" t="s">
        <v>84</v>
      </c>
      <c r="E1838" s="127"/>
      <c r="F1838" s="127"/>
      <c r="G1838" s="130" t="s">
        <v>148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8">
    <tabColor rgb="FFFFFF00"/>
  </sheetPr>
  <dimension ref="D3:K36"/>
  <sheetViews>
    <sheetView showGridLines="0" showRowColHeaders="0" workbookViewId="0">
      <selection activeCell="E38" sqref="E38"/>
    </sheetView>
  </sheetViews>
  <sheetFormatPr baseColWidth="10" defaultColWidth="11.42578125" defaultRowHeight="15.75" x14ac:dyDescent="0.25"/>
  <cols>
    <col min="1" max="2" width="11.42578125" style="26"/>
    <col min="3" max="4" width="5.7109375" style="26" customWidth="1"/>
    <col min="5" max="5" width="27.140625" style="26" customWidth="1"/>
    <col min="6" max="6" width="8.28515625" style="26" customWidth="1"/>
    <col min="7" max="7" width="165.42578125" style="26" customWidth="1"/>
    <col min="8" max="8" width="11.42578125" style="26"/>
    <col min="9" max="9" width="13" style="26" customWidth="1"/>
    <col min="10" max="16384" width="11.42578125" style="26"/>
  </cols>
  <sheetData>
    <row r="3" spans="4:11" x14ac:dyDescent="0.25">
      <c r="D3" s="182" t="s">
        <v>101</v>
      </c>
      <c r="E3" s="182"/>
      <c r="F3" s="182"/>
      <c r="G3" s="182"/>
      <c r="J3" s="183"/>
      <c r="K3" s="183"/>
    </row>
    <row r="4" spans="4:11" x14ac:dyDescent="0.25">
      <c r="J4" s="183"/>
      <c r="K4" s="183"/>
    </row>
    <row r="5" spans="4:11" x14ac:dyDescent="0.25">
      <c r="D5" s="4" t="s">
        <v>11</v>
      </c>
      <c r="E5" s="4" t="s">
        <v>12</v>
      </c>
      <c r="F5" s="4" t="s">
        <v>102</v>
      </c>
      <c r="G5" s="4" t="s">
        <v>103</v>
      </c>
      <c r="J5" s="28"/>
      <c r="K5" s="28"/>
    </row>
    <row r="6" spans="4:11" x14ac:dyDescent="0.25">
      <c r="D6" s="11">
        <v>1</v>
      </c>
      <c r="E6" s="30" t="s">
        <v>98</v>
      </c>
      <c r="F6" s="30">
        <v>29</v>
      </c>
      <c r="G6" s="31" t="s">
        <v>149</v>
      </c>
      <c r="J6" s="28"/>
      <c r="K6" s="28"/>
    </row>
    <row r="7" spans="4:11" x14ac:dyDescent="0.25">
      <c r="D7" s="11">
        <v>2</v>
      </c>
      <c r="E7" s="30" t="s">
        <v>100</v>
      </c>
      <c r="F7" s="30">
        <v>9</v>
      </c>
      <c r="G7" s="31" t="s">
        <v>104</v>
      </c>
      <c r="J7" s="28"/>
      <c r="K7" s="28"/>
    </row>
    <row r="8" spans="4:11" x14ac:dyDescent="0.25">
      <c r="D8" s="11">
        <v>3</v>
      </c>
      <c r="E8" s="30" t="s">
        <v>80</v>
      </c>
      <c r="F8" s="30">
        <v>8</v>
      </c>
      <c r="G8" s="31" t="s">
        <v>105</v>
      </c>
      <c r="J8" s="28"/>
      <c r="K8" s="28"/>
    </row>
    <row r="9" spans="4:11" x14ac:dyDescent="0.25">
      <c r="D9" s="11">
        <v>4</v>
      </c>
      <c r="E9" s="30" t="s">
        <v>106</v>
      </c>
      <c r="F9" s="30">
        <v>7</v>
      </c>
      <c r="G9" s="31" t="s">
        <v>107</v>
      </c>
      <c r="J9" s="28"/>
      <c r="K9" s="28"/>
    </row>
    <row r="10" spans="4:11" x14ac:dyDescent="0.25">
      <c r="D10" s="11">
        <v>5</v>
      </c>
      <c r="E10" s="30" t="s">
        <v>108</v>
      </c>
      <c r="F10" s="30">
        <v>6</v>
      </c>
      <c r="G10" s="31" t="s">
        <v>109</v>
      </c>
      <c r="J10" s="28"/>
      <c r="K10" s="28"/>
    </row>
    <row r="11" spans="4:11" x14ac:dyDescent="0.25">
      <c r="D11" s="184">
        <v>6</v>
      </c>
      <c r="E11" s="30" t="s">
        <v>110</v>
      </c>
      <c r="F11" s="30">
        <v>5</v>
      </c>
      <c r="G11" s="31" t="s">
        <v>111</v>
      </c>
      <c r="J11" s="28"/>
      <c r="K11" s="28"/>
    </row>
    <row r="12" spans="4:11" x14ac:dyDescent="0.25">
      <c r="D12" s="184"/>
      <c r="E12" s="30" t="s">
        <v>94</v>
      </c>
      <c r="F12" s="30">
        <v>5</v>
      </c>
      <c r="G12" s="31" t="s">
        <v>112</v>
      </c>
      <c r="J12" s="28"/>
      <c r="K12" s="28"/>
    </row>
    <row r="13" spans="4:11" x14ac:dyDescent="0.25">
      <c r="D13" s="184">
        <v>8</v>
      </c>
      <c r="E13" s="30" t="s">
        <v>95</v>
      </c>
      <c r="F13" s="30">
        <v>4</v>
      </c>
      <c r="G13" s="31" t="s">
        <v>113</v>
      </c>
      <c r="J13" s="28"/>
      <c r="K13" s="28"/>
    </row>
    <row r="14" spans="4:11" x14ac:dyDescent="0.25">
      <c r="D14" s="184"/>
      <c r="E14" s="30" t="s">
        <v>114</v>
      </c>
      <c r="F14" s="30">
        <v>4</v>
      </c>
      <c r="G14" s="31" t="s">
        <v>115</v>
      </c>
      <c r="J14" s="28"/>
      <c r="K14" s="28"/>
    </row>
    <row r="15" spans="4:11" x14ac:dyDescent="0.25">
      <c r="D15" s="184">
        <v>10</v>
      </c>
      <c r="E15" s="30" t="s">
        <v>116</v>
      </c>
      <c r="F15" s="30">
        <v>3</v>
      </c>
      <c r="G15" s="31" t="s">
        <v>117</v>
      </c>
      <c r="J15" s="28"/>
      <c r="K15" s="28"/>
    </row>
    <row r="16" spans="4:11" x14ac:dyDescent="0.25">
      <c r="D16" s="184"/>
      <c r="E16" s="30" t="s">
        <v>118</v>
      </c>
      <c r="F16" s="30">
        <v>3</v>
      </c>
      <c r="G16" s="31" t="s">
        <v>119</v>
      </c>
      <c r="J16" s="28"/>
      <c r="K16" s="28"/>
    </row>
    <row r="17" spans="4:11" x14ac:dyDescent="0.25">
      <c r="D17" s="184"/>
      <c r="E17" s="30" t="s">
        <v>120</v>
      </c>
      <c r="F17" s="30">
        <v>3</v>
      </c>
      <c r="G17" s="31" t="s">
        <v>121</v>
      </c>
      <c r="J17" s="28"/>
      <c r="K17" s="28"/>
    </row>
    <row r="18" spans="4:11" x14ac:dyDescent="0.25">
      <c r="D18" s="184">
        <v>13</v>
      </c>
      <c r="E18" s="30" t="s">
        <v>122</v>
      </c>
      <c r="F18" s="30">
        <v>2</v>
      </c>
      <c r="G18" s="31" t="s">
        <v>123</v>
      </c>
      <c r="J18" s="28"/>
      <c r="K18" s="28"/>
    </row>
    <row r="19" spans="4:11" x14ac:dyDescent="0.25">
      <c r="D19" s="184"/>
      <c r="E19" s="30" t="s">
        <v>124</v>
      </c>
      <c r="F19" s="30">
        <v>2</v>
      </c>
      <c r="G19" s="31" t="s">
        <v>125</v>
      </c>
      <c r="J19" s="28"/>
      <c r="K19" s="28"/>
    </row>
    <row r="20" spans="4:11" x14ac:dyDescent="0.25">
      <c r="D20" s="184"/>
      <c r="E20" s="30" t="s">
        <v>126</v>
      </c>
      <c r="F20" s="30">
        <v>2</v>
      </c>
      <c r="G20" s="31" t="s">
        <v>127</v>
      </c>
      <c r="J20" s="28"/>
      <c r="K20" s="28"/>
    </row>
    <row r="21" spans="4:11" x14ac:dyDescent="0.25">
      <c r="D21" s="184"/>
      <c r="E21" s="30" t="s">
        <v>97</v>
      </c>
      <c r="F21" s="30">
        <v>2</v>
      </c>
      <c r="G21" s="31" t="s">
        <v>128</v>
      </c>
      <c r="J21" s="28"/>
      <c r="K21" s="28"/>
    </row>
    <row r="22" spans="4:11" x14ac:dyDescent="0.25">
      <c r="D22" s="184">
        <v>17</v>
      </c>
      <c r="E22" s="30" t="s">
        <v>129</v>
      </c>
      <c r="F22" s="30">
        <v>1</v>
      </c>
      <c r="G22" s="31">
        <v>1905</v>
      </c>
      <c r="J22" s="28"/>
      <c r="K22" s="28"/>
    </row>
    <row r="23" spans="4:11" x14ac:dyDescent="0.25">
      <c r="D23" s="184"/>
      <c r="E23" s="30" t="s">
        <v>130</v>
      </c>
      <c r="F23" s="30">
        <v>1</v>
      </c>
      <c r="G23" s="31">
        <v>1907</v>
      </c>
      <c r="J23" s="28"/>
      <c r="K23" s="28"/>
    </row>
    <row r="24" spans="4:11" x14ac:dyDescent="0.25">
      <c r="D24" s="184"/>
      <c r="E24" s="30" t="s">
        <v>131</v>
      </c>
      <c r="F24" s="30">
        <v>1</v>
      </c>
      <c r="G24" s="31">
        <v>1909</v>
      </c>
      <c r="J24" s="28"/>
      <c r="K24" s="28"/>
    </row>
    <row r="25" spans="4:11" x14ac:dyDescent="0.25">
      <c r="D25" s="184"/>
      <c r="E25" s="30" t="s">
        <v>132</v>
      </c>
      <c r="F25" s="30">
        <v>1</v>
      </c>
      <c r="G25" s="31">
        <v>1910</v>
      </c>
      <c r="J25" s="28"/>
      <c r="K25" s="28"/>
    </row>
    <row r="26" spans="4:11" x14ac:dyDescent="0.25">
      <c r="D26" s="184"/>
      <c r="E26" s="30" t="s">
        <v>133</v>
      </c>
      <c r="F26" s="30">
        <v>1</v>
      </c>
      <c r="G26" s="31">
        <v>1912</v>
      </c>
      <c r="J26" s="28"/>
      <c r="K26" s="28"/>
    </row>
    <row r="27" spans="4:11" x14ac:dyDescent="0.25">
      <c r="D27" s="184"/>
      <c r="E27" s="30" t="s">
        <v>89</v>
      </c>
      <c r="F27" s="30">
        <v>1</v>
      </c>
      <c r="G27" s="31">
        <v>1933</v>
      </c>
      <c r="J27" s="28"/>
      <c r="K27" s="28"/>
    </row>
    <row r="28" spans="4:11" x14ac:dyDescent="0.25">
      <c r="D28" s="184"/>
      <c r="E28" s="30" t="s">
        <v>134</v>
      </c>
      <c r="F28" s="30">
        <v>1</v>
      </c>
      <c r="G28" s="31">
        <v>1941</v>
      </c>
      <c r="J28" s="28"/>
      <c r="K28" s="28"/>
    </row>
    <row r="29" spans="4:11" x14ac:dyDescent="0.25">
      <c r="D29" s="184"/>
      <c r="E29" s="30" t="s">
        <v>135</v>
      </c>
      <c r="F29" s="30">
        <v>1</v>
      </c>
      <c r="G29" s="31">
        <v>1949</v>
      </c>
      <c r="J29" s="28"/>
      <c r="K29" s="28"/>
    </row>
    <row r="30" spans="4:11" x14ac:dyDescent="0.25">
      <c r="D30" s="184"/>
      <c r="E30" s="30" t="s">
        <v>136</v>
      </c>
      <c r="F30" s="30">
        <v>1</v>
      </c>
      <c r="G30" s="31">
        <v>1955</v>
      </c>
      <c r="J30" s="28"/>
      <c r="K30" s="28"/>
    </row>
    <row r="31" spans="4:11" x14ac:dyDescent="0.25">
      <c r="D31" s="184"/>
      <c r="E31" s="30" t="s">
        <v>96</v>
      </c>
      <c r="F31" s="30">
        <v>1</v>
      </c>
      <c r="G31" s="31">
        <v>1959</v>
      </c>
      <c r="J31" s="28"/>
      <c r="K31" s="28"/>
    </row>
    <row r="32" spans="4:11" x14ac:dyDescent="0.25">
      <c r="D32" s="184"/>
      <c r="E32" s="30" t="s">
        <v>137</v>
      </c>
      <c r="F32" s="30">
        <v>1</v>
      </c>
      <c r="G32" s="31">
        <v>1966</v>
      </c>
      <c r="J32" s="28"/>
      <c r="K32" s="28"/>
    </row>
    <row r="33" spans="4:11" x14ac:dyDescent="0.25">
      <c r="D33" s="184"/>
      <c r="E33" s="30" t="s">
        <v>138</v>
      </c>
      <c r="F33" s="30">
        <v>1</v>
      </c>
      <c r="G33" s="31">
        <v>1967</v>
      </c>
      <c r="J33" s="28"/>
      <c r="K33" s="28"/>
    </row>
    <row r="34" spans="4:11" x14ac:dyDescent="0.25">
      <c r="D34" s="184"/>
      <c r="E34" s="30" t="s">
        <v>99</v>
      </c>
      <c r="F34" s="30">
        <v>1</v>
      </c>
      <c r="G34" s="31">
        <v>2009</v>
      </c>
      <c r="J34" s="28"/>
      <c r="K34" s="28"/>
    </row>
    <row r="35" spans="4:11" x14ac:dyDescent="0.25">
      <c r="J35" s="28"/>
      <c r="K35" s="28"/>
    </row>
    <row r="36" spans="4:11" x14ac:dyDescent="0.25">
      <c r="J36" s="28"/>
      <c r="K36" s="28"/>
    </row>
  </sheetData>
  <sheetProtection sheet="1" objects="1" scenarios="1"/>
  <mergeCells count="8">
    <mergeCell ref="J3:K3"/>
    <mergeCell ref="J4:K4"/>
    <mergeCell ref="D22:D34"/>
    <mergeCell ref="D15:D17"/>
    <mergeCell ref="D3:G3"/>
    <mergeCell ref="D11:D12"/>
    <mergeCell ref="D13:D14"/>
    <mergeCell ref="D18:D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109</vt:i4>
      </vt:variant>
    </vt:vector>
  </HeadingPairs>
  <TitlesOfParts>
    <vt:vector size="120" baseType="lpstr">
      <vt:lpstr>EQUIPES</vt:lpstr>
      <vt:lpstr>BUNDESLIGA</vt:lpstr>
      <vt:lpstr>EVOLUTION CLASS</vt:lpstr>
      <vt:lpstr>LE CALENDRIER </vt:lpstr>
      <vt:lpstr> GRIS FIXTURE</vt:lpstr>
      <vt:lpstr>STATISTIQUES</vt:lpstr>
      <vt:lpstr>DOM &amp; EXT</vt:lpstr>
      <vt:lpstr>DERNIER RESULTS</vt:lpstr>
      <vt:lpstr>Resultat Journée</vt:lpstr>
      <vt:lpstr>SAISON</vt:lpstr>
      <vt:lpstr> CHAMPIONNAT</vt:lpstr>
      <vt:lpstr>_</vt:lpstr>
      <vt:lpstr>base_donnees</vt:lpstr>
      <vt:lpstr>base_donnees_2</vt:lpstr>
      <vt:lpstr>class</vt:lpstr>
      <vt:lpstr>domicile_1</vt:lpstr>
      <vt:lpstr>domicile_10</vt:lpstr>
      <vt:lpstr>domicile_11</vt:lpstr>
      <vt:lpstr>domicile_12</vt:lpstr>
      <vt:lpstr>domicile_13</vt:lpstr>
      <vt:lpstr>domicile_14</vt:lpstr>
      <vt:lpstr>domicile_15</vt:lpstr>
      <vt:lpstr>domicile_16</vt:lpstr>
      <vt:lpstr>domicile_17</vt:lpstr>
      <vt:lpstr>domicile_18</vt:lpstr>
      <vt:lpstr>domicile_19</vt:lpstr>
      <vt:lpstr>domicile_2</vt:lpstr>
      <vt:lpstr>domicile_20</vt:lpstr>
      <vt:lpstr>domicile_21</vt:lpstr>
      <vt:lpstr>domicile_22</vt:lpstr>
      <vt:lpstr>domicile_23</vt:lpstr>
      <vt:lpstr>domicile_24</vt:lpstr>
      <vt:lpstr>domicile_25</vt:lpstr>
      <vt:lpstr>domicile_26</vt:lpstr>
      <vt:lpstr>domicile_27</vt:lpstr>
      <vt:lpstr>domicile_28</vt:lpstr>
      <vt:lpstr>domicile_29</vt:lpstr>
      <vt:lpstr>domicile_3</vt:lpstr>
      <vt:lpstr>domicile_30</vt:lpstr>
      <vt:lpstr>domicile_31</vt:lpstr>
      <vt:lpstr>domicile_32</vt:lpstr>
      <vt:lpstr>domicile_33</vt:lpstr>
      <vt:lpstr>domicile_34</vt:lpstr>
      <vt:lpstr>domicile_4</vt:lpstr>
      <vt:lpstr>domicile_5</vt:lpstr>
      <vt:lpstr>domicile_6</vt:lpstr>
      <vt:lpstr>domicile_7</vt:lpstr>
      <vt:lpstr>domicile_8</vt:lpstr>
      <vt:lpstr>domicile_9</vt:lpstr>
      <vt:lpstr>equipe</vt:lpstr>
      <vt:lpstr>exterieur_1</vt:lpstr>
      <vt:lpstr>exterieur_10</vt:lpstr>
      <vt:lpstr>exterieur_11</vt:lpstr>
      <vt:lpstr>exterieur_12</vt:lpstr>
      <vt:lpstr>exterieur_13</vt:lpstr>
      <vt:lpstr>exterieur_14</vt:lpstr>
      <vt:lpstr>exterieur_15</vt:lpstr>
      <vt:lpstr>exterieur_16</vt:lpstr>
      <vt:lpstr>exterieur_17</vt:lpstr>
      <vt:lpstr>exterieur_18</vt:lpstr>
      <vt:lpstr>exterieur_19</vt:lpstr>
      <vt:lpstr>exterieur_2</vt:lpstr>
      <vt:lpstr>exterieur_20</vt:lpstr>
      <vt:lpstr>exterieur_21</vt:lpstr>
      <vt:lpstr>exterieur_22</vt:lpstr>
      <vt:lpstr>exterieur_23</vt:lpstr>
      <vt:lpstr>exterieur_24</vt:lpstr>
      <vt:lpstr>exterieur_25</vt:lpstr>
      <vt:lpstr>exterieur_26</vt:lpstr>
      <vt:lpstr>exterieur_27</vt:lpstr>
      <vt:lpstr>exterieur_28</vt:lpstr>
      <vt:lpstr>exterieur_29</vt:lpstr>
      <vt:lpstr>exterieur_3</vt:lpstr>
      <vt:lpstr>exterieur_30</vt:lpstr>
      <vt:lpstr>exterieur_31</vt:lpstr>
      <vt:lpstr>exterieur_32</vt:lpstr>
      <vt:lpstr>exterieur_33</vt:lpstr>
      <vt:lpstr>exterieur_34</vt:lpstr>
      <vt:lpstr>exterieur_4</vt:lpstr>
      <vt:lpstr>exterieur_5</vt:lpstr>
      <vt:lpstr>exterieur_6</vt:lpstr>
      <vt:lpstr>exterieur_7</vt:lpstr>
      <vt:lpstr>exterieur_8</vt:lpstr>
      <vt:lpstr>exterieur_9</vt:lpstr>
      <vt:lpstr>journee</vt:lpstr>
      <vt:lpstr>journee_1</vt:lpstr>
      <vt:lpstr>journee_10</vt:lpstr>
      <vt:lpstr>journee_11</vt:lpstr>
      <vt:lpstr>journee_12</vt:lpstr>
      <vt:lpstr>journee_13</vt:lpstr>
      <vt:lpstr>journee_14</vt:lpstr>
      <vt:lpstr>journee_15</vt:lpstr>
      <vt:lpstr>journee_16</vt:lpstr>
      <vt:lpstr>journee_17</vt:lpstr>
      <vt:lpstr>journee_18</vt:lpstr>
      <vt:lpstr>journee_19</vt:lpstr>
      <vt:lpstr>journee_2</vt:lpstr>
      <vt:lpstr>journee_20</vt:lpstr>
      <vt:lpstr>journee_21</vt:lpstr>
      <vt:lpstr>journee_22</vt:lpstr>
      <vt:lpstr>journee_23</vt:lpstr>
      <vt:lpstr>journee_24</vt:lpstr>
      <vt:lpstr>journee_25</vt:lpstr>
      <vt:lpstr>journee_26</vt:lpstr>
      <vt:lpstr>journee_27</vt:lpstr>
      <vt:lpstr>journee_28</vt:lpstr>
      <vt:lpstr>journee_29</vt:lpstr>
      <vt:lpstr>journee_3</vt:lpstr>
      <vt:lpstr>journee_30</vt:lpstr>
      <vt:lpstr>journee_31</vt:lpstr>
      <vt:lpstr>journee_32</vt:lpstr>
      <vt:lpstr>journee_33</vt:lpstr>
      <vt:lpstr>journee_34</vt:lpstr>
      <vt:lpstr>journee_4</vt:lpstr>
      <vt:lpstr>journee_5</vt:lpstr>
      <vt:lpstr>journee_6</vt:lpstr>
      <vt:lpstr>journee_7</vt:lpstr>
      <vt:lpstr>journee_8</vt:lpstr>
      <vt:lpstr>journee_9</vt:lpstr>
      <vt:lpstr>' GRIS FIXTURE'!Zone_d_impression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frederio</dc:creator>
  <cp:lastModifiedBy>frederio</cp:lastModifiedBy>
  <cp:lastPrinted>2019-11-29T22:42:46Z</cp:lastPrinted>
  <dcterms:created xsi:type="dcterms:W3CDTF">2018-09-26T17:01:09Z</dcterms:created>
  <dcterms:modified xsi:type="dcterms:W3CDTF">2020-03-02T20:14:45Z</dcterms:modified>
</cp:coreProperties>
</file>