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cuments\VOLET ROULANT\"/>
    </mc:Choice>
  </mc:AlternateContent>
  <xr:revisionPtr revIDLastSave="0" documentId="8_{327B4383-81F2-4140-8A1B-A7ABDF48C2D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  <sheet name="Feuil3" sheetId="3" r:id="rId3"/>
    <sheet name="Feuil5" sheetId="6" r:id="rId4"/>
    <sheet name="base" sheetId="4" r:id="rId5"/>
    <sheet name="Feuil1bis" sheetId="11" r:id="rId6"/>
    <sheet name="Feuil2bis" sheetId="12" r:id="rId7"/>
    <sheet name="Feuil3bis" sheetId="13" r:id="rId8"/>
    <sheet name="Feuil5bis" sheetId="14" r:id="rId9"/>
  </sheets>
  <definedNames>
    <definedName name="_xlnm.Print_Area" localSheetId="4">base!$A$1:$E$46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0" i="2" l="1"/>
  <c r="G64" i="14"/>
  <c r="E62" i="1"/>
  <c r="E61" i="1"/>
  <c r="E69" i="1"/>
  <c r="G69" i="1" s="1"/>
  <c r="H69" i="1" s="1"/>
  <c r="E68" i="1"/>
  <c r="G68" i="1" s="1"/>
  <c r="H68" i="1" s="1"/>
  <c r="E67" i="1"/>
  <c r="G67" i="1" s="1"/>
  <c r="H67" i="1" s="1"/>
  <c r="E66" i="1"/>
  <c r="G66" i="1" s="1"/>
  <c r="H66" i="1" s="1"/>
  <c r="E64" i="1"/>
  <c r="E57" i="1"/>
  <c r="E56" i="1"/>
  <c r="E55" i="1"/>
  <c r="E54" i="1"/>
  <c r="E61" i="2"/>
  <c r="E62" i="2"/>
  <c r="E69" i="2"/>
  <c r="G69" i="2" s="1"/>
  <c r="H69" i="2" s="1"/>
  <c r="E68" i="2"/>
  <c r="G68" i="2" s="1"/>
  <c r="H68" i="2" s="1"/>
  <c r="E67" i="2"/>
  <c r="G67" i="2" s="1"/>
  <c r="H67" i="2" s="1"/>
  <c r="E64" i="2"/>
  <c r="E63" i="2"/>
  <c r="G63" i="2" s="1"/>
  <c r="H63" i="2" s="1"/>
  <c r="E57" i="2"/>
  <c r="E56" i="2"/>
  <c r="E55" i="2"/>
  <c r="E54" i="2"/>
  <c r="G70" i="3"/>
  <c r="H70" i="3" s="1"/>
  <c r="E70" i="3"/>
  <c r="E69" i="3"/>
  <c r="G69" i="3" s="1"/>
  <c r="H69" i="3" s="1"/>
  <c r="E68" i="3"/>
  <c r="G68" i="3" s="1"/>
  <c r="H68" i="3" s="1"/>
  <c r="H67" i="3"/>
  <c r="G67" i="3"/>
  <c r="E67" i="3"/>
  <c r="C67" i="3"/>
  <c r="E66" i="3"/>
  <c r="G66" i="3" s="1"/>
  <c r="H66" i="3" s="1"/>
  <c r="G65" i="3"/>
  <c r="H65" i="3" s="1"/>
  <c r="E65" i="3"/>
  <c r="E64" i="3"/>
  <c r="G64" i="3" s="1"/>
  <c r="H64" i="3" s="1"/>
  <c r="E63" i="3"/>
  <c r="G63" i="3" s="1"/>
  <c r="H63" i="3" s="1"/>
  <c r="E60" i="3"/>
  <c r="G60" i="3" s="1"/>
  <c r="H60" i="3" s="1"/>
  <c r="G59" i="3"/>
  <c r="H59" i="3" s="1"/>
  <c r="E59" i="3"/>
  <c r="F58" i="3"/>
  <c r="H58" i="3" s="1"/>
  <c r="G58" i="3" s="1"/>
  <c r="E58" i="3"/>
  <c r="F57" i="3"/>
  <c r="H57" i="3" s="1"/>
  <c r="G57" i="3" s="1"/>
  <c r="E57" i="3"/>
  <c r="F56" i="3"/>
  <c r="E56" i="3"/>
  <c r="H56" i="3" s="1"/>
  <c r="G56" i="3" s="1"/>
  <c r="F55" i="3"/>
  <c r="E55" i="3"/>
  <c r="H55" i="3" s="1"/>
  <c r="G55" i="3" s="1"/>
  <c r="F54" i="3"/>
  <c r="E54" i="3"/>
  <c r="H54" i="3" s="1"/>
  <c r="G64" i="6"/>
  <c r="F61" i="6"/>
  <c r="E70" i="12"/>
  <c r="G64" i="13"/>
  <c r="E71" i="14"/>
  <c r="G21" i="14"/>
  <c r="G21" i="13"/>
  <c r="G21" i="12"/>
  <c r="G21" i="11"/>
  <c r="G64" i="11" s="1"/>
  <c r="G21" i="1"/>
  <c r="G21" i="2"/>
  <c r="G21" i="3"/>
  <c r="G21" i="6"/>
  <c r="E61" i="6"/>
  <c r="G61" i="6" s="1"/>
  <c r="H61" i="6" s="1"/>
  <c r="G70" i="6"/>
  <c r="H70" i="6" s="1"/>
  <c r="E70" i="6"/>
  <c r="E69" i="6"/>
  <c r="G69" i="6" s="1"/>
  <c r="H69" i="6" s="1"/>
  <c r="E68" i="6"/>
  <c r="G68" i="6" s="1"/>
  <c r="H68" i="6" s="1"/>
  <c r="E67" i="6"/>
  <c r="G67" i="6" s="1"/>
  <c r="H67" i="6" s="1"/>
  <c r="C67" i="6"/>
  <c r="E66" i="6"/>
  <c r="G66" i="6" s="1"/>
  <c r="H66" i="6" s="1"/>
  <c r="G65" i="6"/>
  <c r="H65" i="6" s="1"/>
  <c r="E65" i="6"/>
  <c r="E64" i="6"/>
  <c r="E63" i="6"/>
  <c r="G63" i="6" s="1"/>
  <c r="H63" i="6" s="1"/>
  <c r="E60" i="6"/>
  <c r="G60" i="6" s="1"/>
  <c r="H60" i="6" s="1"/>
  <c r="G59" i="6"/>
  <c r="H59" i="6" s="1"/>
  <c r="E59" i="6"/>
  <c r="F58" i="6"/>
  <c r="H58" i="6" s="1"/>
  <c r="G58" i="6" s="1"/>
  <c r="E58" i="6"/>
  <c r="F57" i="6"/>
  <c r="H57" i="6" s="1"/>
  <c r="G57" i="6" s="1"/>
  <c r="E57" i="6"/>
  <c r="F56" i="6"/>
  <c r="E56" i="6"/>
  <c r="H56" i="6" s="1"/>
  <c r="G56" i="6" s="1"/>
  <c r="F55" i="6"/>
  <c r="E55" i="6"/>
  <c r="H55" i="6" s="1"/>
  <c r="G55" i="6" s="1"/>
  <c r="F54" i="6"/>
  <c r="E54" i="6"/>
  <c r="H54" i="6" s="1"/>
  <c r="E62" i="11"/>
  <c r="E69" i="12"/>
  <c r="G69" i="12" s="1"/>
  <c r="H69" i="12" s="1"/>
  <c r="E68" i="12"/>
  <c r="G68" i="12" s="1"/>
  <c r="H68" i="12" s="1"/>
  <c r="E67" i="12"/>
  <c r="G67" i="12" s="1"/>
  <c r="H67" i="12" s="1"/>
  <c r="E64" i="12"/>
  <c r="E62" i="12"/>
  <c r="H62" i="12" s="1"/>
  <c r="E61" i="12"/>
  <c r="G61" i="12" s="1"/>
  <c r="H61" i="12" s="1"/>
  <c r="E57" i="12"/>
  <c r="E56" i="12"/>
  <c r="E55" i="12"/>
  <c r="E54" i="12"/>
  <c r="E61" i="11"/>
  <c r="E69" i="11"/>
  <c r="G69" i="11" s="1"/>
  <c r="H69" i="11" s="1"/>
  <c r="E68" i="11"/>
  <c r="G68" i="11" s="1"/>
  <c r="H68" i="11" s="1"/>
  <c r="E67" i="11"/>
  <c r="G67" i="11" s="1"/>
  <c r="H67" i="11" s="1"/>
  <c r="E64" i="11"/>
  <c r="E57" i="11"/>
  <c r="E56" i="11"/>
  <c r="E55" i="11"/>
  <c r="E54" i="11"/>
  <c r="G70" i="14"/>
  <c r="H70" i="14" s="1"/>
  <c r="E70" i="14"/>
  <c r="E69" i="14"/>
  <c r="G69" i="14" s="1"/>
  <c r="H69" i="14" s="1"/>
  <c r="E68" i="14"/>
  <c r="G68" i="14" s="1"/>
  <c r="H68" i="14" s="1"/>
  <c r="G67" i="14"/>
  <c r="H67" i="14" s="1"/>
  <c r="E67" i="14"/>
  <c r="E66" i="14"/>
  <c r="G66" i="14" s="1"/>
  <c r="H66" i="14" s="1"/>
  <c r="E65" i="14"/>
  <c r="G65" i="14" s="1"/>
  <c r="H65" i="14" s="1"/>
  <c r="E64" i="14"/>
  <c r="H64" i="14" s="1"/>
  <c r="E58" i="14"/>
  <c r="E57" i="14"/>
  <c r="E56" i="14"/>
  <c r="E55" i="14"/>
  <c r="E54" i="14"/>
  <c r="G69" i="13"/>
  <c r="H69" i="13" s="1"/>
  <c r="G67" i="13"/>
  <c r="H67" i="13" s="1"/>
  <c r="G59" i="13"/>
  <c r="H59" i="13" s="1"/>
  <c r="E70" i="13"/>
  <c r="G70" i="13" s="1"/>
  <c r="H70" i="13" s="1"/>
  <c r="E67" i="13"/>
  <c r="E69" i="13"/>
  <c r="E68" i="13"/>
  <c r="G68" i="13" s="1"/>
  <c r="H68" i="13" s="1"/>
  <c r="D24" i="1"/>
  <c r="D24" i="2"/>
  <c r="D24" i="3"/>
  <c r="D24" i="6"/>
  <c r="D24" i="11"/>
  <c r="D24" i="12"/>
  <c r="D24" i="14"/>
  <c r="D24" i="13"/>
  <c r="E64" i="13"/>
  <c r="H64" i="13" s="1"/>
  <c r="E59" i="13"/>
  <c r="E57" i="13"/>
  <c r="E56" i="13"/>
  <c r="E55" i="13"/>
  <c r="E54" i="13"/>
  <c r="H64" i="11" l="1"/>
  <c r="G64" i="2"/>
  <c r="H64" i="2" s="1"/>
  <c r="G64" i="1"/>
  <c r="H64" i="1" s="1"/>
  <c r="H71" i="3"/>
  <c r="G54" i="3"/>
  <c r="G71" i="3" s="1"/>
  <c r="H64" i="6"/>
  <c r="G64" i="12"/>
  <c r="H64" i="12" s="1"/>
  <c r="H71" i="6"/>
  <c r="G54" i="6"/>
  <c r="G71" i="6" s="1"/>
  <c r="G62" i="12"/>
  <c r="G11" i="13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4" i="4"/>
  <c r="G10" i="14"/>
  <c r="F11" i="14"/>
  <c r="F10" i="14"/>
  <c r="F10" i="13"/>
  <c r="G10" i="13" s="1"/>
  <c r="E10" i="13"/>
  <c r="B24" i="14"/>
  <c r="C67" i="14" s="1"/>
  <c r="B24" i="13"/>
  <c r="C67" i="13" s="1"/>
  <c r="B24" i="12"/>
  <c r="C67" i="12" s="1"/>
  <c r="B24" i="11"/>
  <c r="C67" i="11" s="1"/>
  <c r="B24" i="6"/>
  <c r="B24" i="3"/>
  <c r="B24" i="2"/>
  <c r="C67" i="2" s="1"/>
  <c r="B24" i="1"/>
  <c r="C67" i="1" s="1"/>
  <c r="F13" i="13"/>
  <c r="G13" i="13" s="1"/>
  <c r="E13" i="13"/>
  <c r="E13" i="11"/>
  <c r="E13" i="12"/>
  <c r="E10" i="11"/>
  <c r="E10" i="1"/>
  <c r="F54" i="13" l="1"/>
  <c r="H54" i="13" s="1"/>
  <c r="F57" i="13"/>
  <c r="H57" i="13" s="1"/>
  <c r="G57" i="13" s="1"/>
  <c r="D25" i="1"/>
  <c r="D25" i="2"/>
  <c r="D25" i="3"/>
  <c r="D25" i="6"/>
  <c r="D25" i="11"/>
  <c r="D25" i="12"/>
  <c r="D25" i="13"/>
  <c r="D25" i="14"/>
  <c r="G54" i="13" l="1"/>
  <c r="E12" i="1"/>
  <c r="F56" i="1" s="1"/>
  <c r="H56" i="1" s="1"/>
  <c r="G56" i="1" s="1"/>
  <c r="E12" i="2"/>
  <c r="F56" i="2" s="1"/>
  <c r="H56" i="2" s="1"/>
  <c r="G56" i="2" s="1"/>
  <c r="E12" i="3"/>
  <c r="E12" i="6"/>
  <c r="E12" i="11"/>
  <c r="F56" i="11" s="1"/>
  <c r="H56" i="11" s="1"/>
  <c r="G56" i="11" s="1"/>
  <c r="E12" i="12"/>
  <c r="F56" i="12" s="1"/>
  <c r="H56" i="12" s="1"/>
  <c r="G56" i="12" s="1"/>
  <c r="E12" i="14"/>
  <c r="F56" i="14" s="1"/>
  <c r="H56" i="14" s="1"/>
  <c r="G56" i="14" s="1"/>
  <c r="E11" i="14"/>
  <c r="F55" i="14" s="1"/>
  <c r="H55" i="14" s="1"/>
  <c r="G55" i="14" s="1"/>
  <c r="E12" i="13"/>
  <c r="F56" i="13" s="1"/>
  <c r="H56" i="13" s="1"/>
  <c r="G56" i="13" s="1"/>
  <c r="E11" i="13"/>
  <c r="E11" i="12"/>
  <c r="F55" i="12" s="1"/>
  <c r="H55" i="12" s="1"/>
  <c r="G55" i="12" s="1"/>
  <c r="E11" i="11"/>
  <c r="F55" i="11" s="1"/>
  <c r="H55" i="11" s="1"/>
  <c r="E11" i="6"/>
  <c r="E11" i="3"/>
  <c r="E11" i="2"/>
  <c r="F55" i="2" s="1"/>
  <c r="H55" i="2" s="1"/>
  <c r="G55" i="2" s="1"/>
  <c r="E11" i="1"/>
  <c r="F55" i="1" s="1"/>
  <c r="H55" i="1" s="1"/>
  <c r="E10" i="3"/>
  <c r="E13" i="14"/>
  <c r="F57" i="14" s="1"/>
  <c r="H57" i="14" s="1"/>
  <c r="G57" i="14" s="1"/>
  <c r="E13" i="3"/>
  <c r="G55" i="1" l="1"/>
  <c r="G55" i="11"/>
  <c r="F55" i="13"/>
  <c r="H55" i="13" s="1"/>
  <c r="G11" i="14"/>
  <c r="G11" i="11"/>
  <c r="G11" i="6"/>
  <c r="G11" i="3"/>
  <c r="F11" i="2"/>
  <c r="G11" i="2"/>
  <c r="G11" i="1"/>
  <c r="F11" i="1" s="1"/>
  <c r="F12" i="1"/>
  <c r="G55" i="13" l="1"/>
  <c r="G22" i="1"/>
  <c r="G22" i="2"/>
  <c r="F22" i="2" s="1"/>
  <c r="F22" i="3"/>
  <c r="G22" i="3"/>
  <c r="G22" i="6"/>
  <c r="F22" i="6" s="1"/>
  <c r="G22" i="11"/>
  <c r="F22" i="11" s="1"/>
  <c r="F22" i="12"/>
  <c r="G22" i="12"/>
  <c r="G22" i="13"/>
  <c r="F22" i="13" s="1"/>
  <c r="G22" i="14"/>
  <c r="F22" i="14" s="1"/>
  <c r="F22" i="1" l="1"/>
  <c r="F13" i="14"/>
  <c r="G13" i="14" s="1"/>
  <c r="D20" i="12" l="1"/>
  <c r="E63" i="12" s="1"/>
  <c r="G63" i="12" s="1"/>
  <c r="H63" i="12" s="1"/>
  <c r="F13" i="2" l="1"/>
  <c r="F13" i="6"/>
  <c r="F13" i="12"/>
  <c r="H26" i="1" l="1"/>
  <c r="H27" i="6"/>
  <c r="H10" i="6"/>
  <c r="H10" i="1"/>
  <c r="H11" i="1"/>
  <c r="H11" i="6" l="1"/>
  <c r="E7" i="3"/>
  <c r="E7" i="1"/>
  <c r="D7" i="6"/>
  <c r="E13" i="6" s="1"/>
  <c r="D7" i="3"/>
  <c r="D7" i="1"/>
  <c r="E13" i="1" s="1"/>
  <c r="D7" i="2"/>
  <c r="E13" i="2" s="1"/>
  <c r="D19" i="2"/>
  <c r="G15" i="11"/>
  <c r="G19" i="14"/>
  <c r="G18" i="14"/>
  <c r="G19" i="13"/>
  <c r="G18" i="13"/>
  <c r="G15" i="13"/>
  <c r="G13" i="2"/>
  <c r="G13" i="6"/>
  <c r="G19" i="6"/>
  <c r="G18" i="6"/>
  <c r="G19" i="3"/>
  <c r="G18" i="3"/>
  <c r="G15" i="3"/>
  <c r="Q13" i="14"/>
  <c r="P13" i="14"/>
  <c r="O13" i="14"/>
  <c r="M13" i="14"/>
  <c r="Q11" i="13"/>
  <c r="P11" i="13"/>
  <c r="O11" i="13"/>
  <c r="M11" i="13"/>
  <c r="Q13" i="12"/>
  <c r="P13" i="12"/>
  <c r="O13" i="12"/>
  <c r="M13" i="12"/>
  <c r="Q12" i="11"/>
  <c r="P12" i="11"/>
  <c r="O12" i="11"/>
  <c r="M12" i="11"/>
  <c r="Q14" i="6"/>
  <c r="P14" i="6"/>
  <c r="O14" i="6"/>
  <c r="M14" i="6"/>
  <c r="Q12" i="3"/>
  <c r="P12" i="3"/>
  <c r="O12" i="3"/>
  <c r="M12" i="3"/>
  <c r="Q16" i="2"/>
  <c r="P16" i="2"/>
  <c r="O16" i="2"/>
  <c r="M16" i="2"/>
  <c r="Q16" i="1"/>
  <c r="P16" i="1"/>
  <c r="O16" i="1"/>
  <c r="M16" i="1"/>
  <c r="D20" i="13"/>
  <c r="D19" i="13"/>
  <c r="H19" i="1"/>
  <c r="H18" i="1"/>
  <c r="D20" i="3"/>
  <c r="D21" i="3"/>
  <c r="H25" i="6"/>
  <c r="H22" i="6"/>
  <c r="H21" i="1"/>
  <c r="H13" i="1"/>
  <c r="F27" i="14"/>
  <c r="G27" i="14" s="1"/>
  <c r="F26" i="14"/>
  <c r="G26" i="14" s="1"/>
  <c r="F25" i="14"/>
  <c r="G25" i="14" s="1"/>
  <c r="F24" i="14"/>
  <c r="G24" i="14" s="1"/>
  <c r="F23" i="14"/>
  <c r="G23" i="14" s="1"/>
  <c r="D22" i="14"/>
  <c r="F21" i="14"/>
  <c r="F20" i="14"/>
  <c r="G20" i="14" s="1"/>
  <c r="D20" i="14"/>
  <c r="E63" i="14" s="1"/>
  <c r="G63" i="14" s="1"/>
  <c r="H63" i="14" s="1"/>
  <c r="F17" i="14"/>
  <c r="G17" i="14" s="1"/>
  <c r="D17" i="14"/>
  <c r="E60" i="14" s="1"/>
  <c r="G60" i="14" s="1"/>
  <c r="H60" i="14" s="1"/>
  <c r="F16" i="14"/>
  <c r="G16" i="14" s="1"/>
  <c r="D16" i="14"/>
  <c r="E59" i="14" s="1"/>
  <c r="G59" i="14" s="1"/>
  <c r="F15" i="14"/>
  <c r="G15" i="14" s="1"/>
  <c r="D15" i="14"/>
  <c r="E10" i="14" s="1"/>
  <c r="F54" i="14" s="1"/>
  <c r="H54" i="14" s="1"/>
  <c r="G54" i="14" s="1"/>
  <c r="F14" i="14"/>
  <c r="G14" i="14" s="1"/>
  <c r="D14" i="14"/>
  <c r="F12" i="14"/>
  <c r="G12" i="14" s="1"/>
  <c r="D23" i="14"/>
  <c r="F27" i="13"/>
  <c r="G27" i="13" s="1"/>
  <c r="F26" i="13"/>
  <c r="G26" i="13" s="1"/>
  <c r="F25" i="13"/>
  <c r="G25" i="13" s="1"/>
  <c r="F24" i="13"/>
  <c r="G24" i="13" s="1"/>
  <c r="F23" i="13"/>
  <c r="G23" i="13" s="1"/>
  <c r="D22" i="13"/>
  <c r="F21" i="13"/>
  <c r="F20" i="13"/>
  <c r="G20" i="13" s="1"/>
  <c r="F17" i="13"/>
  <c r="D17" i="13"/>
  <c r="E60" i="13" s="1"/>
  <c r="G60" i="13" s="1"/>
  <c r="H60" i="13" s="1"/>
  <c r="F16" i="13"/>
  <c r="G16" i="13" s="1"/>
  <c r="F14" i="13"/>
  <c r="D14" i="13"/>
  <c r="E58" i="13" s="1"/>
  <c r="F12" i="13"/>
  <c r="G12" i="13" s="1"/>
  <c r="D23" i="13"/>
  <c r="F11" i="13"/>
  <c r="F26" i="12"/>
  <c r="G26" i="12" s="1"/>
  <c r="F25" i="12"/>
  <c r="G25" i="12" s="1"/>
  <c r="F24" i="12"/>
  <c r="G24" i="12" s="1"/>
  <c r="F23" i="12"/>
  <c r="G23" i="12" s="1"/>
  <c r="D22" i="12"/>
  <c r="E65" i="12" s="1"/>
  <c r="G65" i="12" s="1"/>
  <c r="H65" i="12" s="1"/>
  <c r="F21" i="12"/>
  <c r="F20" i="12"/>
  <c r="G20" i="12" s="1"/>
  <c r="F19" i="12"/>
  <c r="G19" i="12" s="1"/>
  <c r="F18" i="12"/>
  <c r="G18" i="12" s="1"/>
  <c r="D18" i="12"/>
  <c r="F17" i="12"/>
  <c r="G17" i="12" s="1"/>
  <c r="D17" i="12"/>
  <c r="E60" i="12" s="1"/>
  <c r="G60" i="12" s="1"/>
  <c r="H60" i="12" s="1"/>
  <c r="F16" i="12"/>
  <c r="G16" i="12" s="1"/>
  <c r="D16" i="12"/>
  <c r="E59" i="12" s="1"/>
  <c r="G59" i="12" s="1"/>
  <c r="H59" i="12" s="1"/>
  <c r="F15" i="12"/>
  <c r="G15" i="12" s="1"/>
  <c r="D15" i="12"/>
  <c r="E10" i="12" s="1"/>
  <c r="F54" i="12" s="1"/>
  <c r="H54" i="12" s="1"/>
  <c r="F14" i="12"/>
  <c r="G14" i="12" s="1"/>
  <c r="D14" i="12"/>
  <c r="E58" i="12" s="1"/>
  <c r="G13" i="12"/>
  <c r="F57" i="12" s="1"/>
  <c r="H57" i="12" s="1"/>
  <c r="G57" i="12" s="1"/>
  <c r="F12" i="12"/>
  <c r="G12" i="12" s="1"/>
  <c r="D23" i="12"/>
  <c r="E66" i="12" s="1"/>
  <c r="G66" i="12" s="1"/>
  <c r="H66" i="12" s="1"/>
  <c r="F11" i="12"/>
  <c r="G11" i="12" s="1"/>
  <c r="F10" i="12"/>
  <c r="G10" i="12" s="1"/>
  <c r="F26" i="11"/>
  <c r="G26" i="11" s="1"/>
  <c r="F25" i="11"/>
  <c r="G25" i="11" s="1"/>
  <c r="F24" i="11"/>
  <c r="G24" i="11" s="1"/>
  <c r="F23" i="11"/>
  <c r="G23" i="11" s="1"/>
  <c r="D22" i="11"/>
  <c r="E65" i="11" s="1"/>
  <c r="G65" i="11" s="1"/>
  <c r="H65" i="11" s="1"/>
  <c r="F21" i="11"/>
  <c r="F20" i="11"/>
  <c r="G20" i="11" s="1"/>
  <c r="D20" i="11"/>
  <c r="E63" i="11" s="1"/>
  <c r="G63" i="11" s="1"/>
  <c r="H63" i="11" s="1"/>
  <c r="F19" i="11"/>
  <c r="F18" i="11"/>
  <c r="D18" i="11"/>
  <c r="F17" i="11"/>
  <c r="G17" i="11" s="1"/>
  <c r="D17" i="11"/>
  <c r="E60" i="11" s="1"/>
  <c r="G60" i="11" s="1"/>
  <c r="H60" i="11" s="1"/>
  <c r="F16" i="11"/>
  <c r="G16" i="11" s="1"/>
  <c r="D16" i="11"/>
  <c r="E59" i="11" s="1"/>
  <c r="G59" i="11" s="1"/>
  <c r="F14" i="11"/>
  <c r="G14" i="11" s="1"/>
  <c r="D14" i="11"/>
  <c r="E58" i="11" s="1"/>
  <c r="F12" i="11"/>
  <c r="G12" i="11" s="1"/>
  <c r="D23" i="11"/>
  <c r="E66" i="11" s="1"/>
  <c r="G66" i="11" s="1"/>
  <c r="H66" i="11" s="1"/>
  <c r="F11" i="11"/>
  <c r="F10" i="11"/>
  <c r="D14" i="1"/>
  <c r="E58" i="1" s="1"/>
  <c r="D14" i="2"/>
  <c r="E58" i="2" s="1"/>
  <c r="D14" i="6"/>
  <c r="I11" i="1"/>
  <c r="E15" i="6"/>
  <c r="I15" i="6" s="1"/>
  <c r="D14" i="3"/>
  <c r="F27" i="6"/>
  <c r="F26" i="6"/>
  <c r="F25" i="6"/>
  <c r="F24" i="6"/>
  <c r="G24" i="6" s="1"/>
  <c r="F23" i="6"/>
  <c r="G23" i="6" s="1"/>
  <c r="F21" i="6"/>
  <c r="F20" i="6"/>
  <c r="G20" i="6" s="1"/>
  <c r="F17" i="6"/>
  <c r="G17" i="6" s="1"/>
  <c r="F16" i="6"/>
  <c r="G16" i="6" s="1"/>
  <c r="F15" i="6"/>
  <c r="G15" i="6" s="1"/>
  <c r="F14" i="6"/>
  <c r="G14" i="6" s="1"/>
  <c r="F12" i="6"/>
  <c r="G12" i="6" s="1"/>
  <c r="F11" i="6"/>
  <c r="F10" i="6"/>
  <c r="G10" i="6" s="1"/>
  <c r="F27" i="3"/>
  <c r="F26" i="3"/>
  <c r="G26" i="3" s="1"/>
  <c r="F25" i="3"/>
  <c r="G25" i="3" s="1"/>
  <c r="F24" i="3"/>
  <c r="G24" i="3" s="1"/>
  <c r="F23" i="3"/>
  <c r="G23" i="3" s="1"/>
  <c r="F21" i="3"/>
  <c r="F20" i="3"/>
  <c r="G20" i="3" s="1"/>
  <c r="F17" i="3"/>
  <c r="G17" i="3" s="1"/>
  <c r="F16" i="3"/>
  <c r="G16" i="3" s="1"/>
  <c r="F14" i="3"/>
  <c r="G14" i="3" s="1"/>
  <c r="F12" i="3"/>
  <c r="G12" i="3" s="1"/>
  <c r="F11" i="3"/>
  <c r="F10" i="3"/>
  <c r="G10" i="3" s="1"/>
  <c r="F26" i="2"/>
  <c r="F25" i="2"/>
  <c r="F24" i="2"/>
  <c r="G24" i="2" s="1"/>
  <c r="F23" i="2"/>
  <c r="G23" i="2" s="1"/>
  <c r="F21" i="2"/>
  <c r="F20" i="2"/>
  <c r="G20" i="2" s="1"/>
  <c r="F19" i="2"/>
  <c r="F18" i="2"/>
  <c r="G18" i="2" s="1"/>
  <c r="G61" i="2" s="1"/>
  <c r="H61" i="2" s="1"/>
  <c r="F17" i="2"/>
  <c r="G17" i="2" s="1"/>
  <c r="F16" i="2"/>
  <c r="G16" i="2" s="1"/>
  <c r="F15" i="2"/>
  <c r="G15" i="2" s="1"/>
  <c r="F14" i="2"/>
  <c r="G14" i="2" s="1"/>
  <c r="F12" i="2"/>
  <c r="G12" i="2" s="1"/>
  <c r="F10" i="2"/>
  <c r="G10" i="2" s="1"/>
  <c r="F26" i="1"/>
  <c r="G26" i="1" s="1"/>
  <c r="F25" i="1"/>
  <c r="G25" i="1" s="1"/>
  <c r="F24" i="1"/>
  <c r="G24" i="1" s="1"/>
  <c r="F23" i="1"/>
  <c r="G23" i="1" s="1"/>
  <c r="F21" i="1"/>
  <c r="F20" i="1"/>
  <c r="G20" i="1" s="1"/>
  <c r="F19" i="1"/>
  <c r="G19" i="1" s="1"/>
  <c r="G62" i="1" s="1"/>
  <c r="H62" i="1" s="1"/>
  <c r="F18" i="1"/>
  <c r="G18" i="1" s="1"/>
  <c r="G61" i="1" s="1"/>
  <c r="H61" i="1" s="1"/>
  <c r="F17" i="1"/>
  <c r="G17" i="1" s="1"/>
  <c r="F16" i="1"/>
  <c r="G16" i="1" s="1"/>
  <c r="F14" i="1"/>
  <c r="G14" i="1" s="1"/>
  <c r="G12" i="1"/>
  <c r="F10" i="1"/>
  <c r="D15" i="6"/>
  <c r="H24" i="6"/>
  <c r="D20" i="6"/>
  <c r="H20" i="6" s="1"/>
  <c r="D17" i="6"/>
  <c r="H17" i="6" s="1"/>
  <c r="D16" i="6"/>
  <c r="H16" i="6" s="1"/>
  <c r="D23" i="6"/>
  <c r="H23" i="6" s="1"/>
  <c r="D22" i="3"/>
  <c r="D17" i="3"/>
  <c r="D16" i="3"/>
  <c r="D23" i="3"/>
  <c r="D22" i="2"/>
  <c r="E65" i="2" s="1"/>
  <c r="G65" i="2" s="1"/>
  <c r="H65" i="2" s="1"/>
  <c r="D17" i="2"/>
  <c r="E60" i="2" s="1"/>
  <c r="G60" i="2" s="1"/>
  <c r="H60" i="2" s="1"/>
  <c r="D15" i="2"/>
  <c r="D18" i="2"/>
  <c r="D16" i="2"/>
  <c r="E59" i="2" s="1"/>
  <c r="G59" i="2" s="1"/>
  <c r="H59" i="2" s="1"/>
  <c r="H24" i="1"/>
  <c r="D18" i="1"/>
  <c r="D22" i="1"/>
  <c r="D20" i="1"/>
  <c r="D17" i="1"/>
  <c r="D16" i="1"/>
  <c r="H59" i="14" l="1"/>
  <c r="G54" i="12"/>
  <c r="G10" i="11"/>
  <c r="F54" i="11"/>
  <c r="H54" i="11" s="1"/>
  <c r="G54" i="11" s="1"/>
  <c r="G70" i="11" s="1"/>
  <c r="F57" i="2"/>
  <c r="H57" i="2" s="1"/>
  <c r="G57" i="2" s="1"/>
  <c r="E7" i="2"/>
  <c r="E10" i="2"/>
  <c r="F54" i="2" s="1"/>
  <c r="H54" i="2" s="1"/>
  <c r="G54" i="2" s="1"/>
  <c r="H22" i="1"/>
  <c r="J22" i="1" s="1"/>
  <c r="E65" i="1"/>
  <c r="G65" i="1" s="1"/>
  <c r="H65" i="1" s="1"/>
  <c r="G10" i="1"/>
  <c r="F54" i="1"/>
  <c r="H54" i="1" s="1"/>
  <c r="G54" i="1" s="1"/>
  <c r="H20" i="1"/>
  <c r="J20" i="1" s="1"/>
  <c r="E63" i="1"/>
  <c r="G63" i="1" s="1"/>
  <c r="H63" i="1" s="1"/>
  <c r="H17" i="1"/>
  <c r="J17" i="1" s="1"/>
  <c r="E60" i="1"/>
  <c r="G60" i="1" s="1"/>
  <c r="H60" i="1" s="1"/>
  <c r="H16" i="1"/>
  <c r="J16" i="1" s="1"/>
  <c r="E59" i="1"/>
  <c r="G59" i="1" s="1"/>
  <c r="H59" i="11"/>
  <c r="H70" i="11" s="1"/>
  <c r="G17" i="13"/>
  <c r="E65" i="13"/>
  <c r="G65" i="13" s="1"/>
  <c r="H65" i="13" s="1"/>
  <c r="E63" i="13"/>
  <c r="G63" i="13" s="1"/>
  <c r="H63" i="13" s="1"/>
  <c r="E66" i="13"/>
  <c r="G66" i="13" s="1"/>
  <c r="H66" i="13" s="1"/>
  <c r="G14" i="13"/>
  <c r="E7" i="6"/>
  <c r="E10" i="6"/>
  <c r="I10" i="6" s="1"/>
  <c r="F13" i="3"/>
  <c r="G13" i="3" s="1"/>
  <c r="F13" i="11"/>
  <c r="G13" i="11" s="1"/>
  <c r="F57" i="11" s="1"/>
  <c r="H57" i="11" s="1"/>
  <c r="G57" i="11" s="1"/>
  <c r="F13" i="1"/>
  <c r="G13" i="1" s="1"/>
  <c r="F57" i="1" s="1"/>
  <c r="H57" i="1" s="1"/>
  <c r="G57" i="1" s="1"/>
  <c r="J27" i="6"/>
  <c r="H12" i="1"/>
  <c r="H14" i="1"/>
  <c r="H25" i="1"/>
  <c r="J25" i="1" s="1"/>
  <c r="H14" i="6"/>
  <c r="J25" i="6"/>
  <c r="J22" i="6"/>
  <c r="E15" i="2"/>
  <c r="F70" i="2" s="1"/>
  <c r="G70" i="2" s="1"/>
  <c r="H70" i="2" s="1"/>
  <c r="E14" i="6"/>
  <c r="I14" i="6" s="1"/>
  <c r="D23" i="2"/>
  <c r="H21" i="6"/>
  <c r="J21" i="6" s="1"/>
  <c r="J26" i="1"/>
  <c r="G25" i="6"/>
  <c r="H23" i="1"/>
  <c r="J23" i="1" s="1"/>
  <c r="D19" i="1"/>
  <c r="H13" i="6"/>
  <c r="G27" i="3"/>
  <c r="G26" i="6"/>
  <c r="G18" i="11"/>
  <c r="G61" i="11" s="1"/>
  <c r="H61" i="11" s="1"/>
  <c r="E14" i="1"/>
  <c r="H26" i="6"/>
  <c r="J26" i="6" s="1"/>
  <c r="E14" i="11"/>
  <c r="F58" i="11" s="1"/>
  <c r="H58" i="11" s="1"/>
  <c r="G58" i="11" s="1"/>
  <c r="G27" i="6"/>
  <c r="G19" i="11"/>
  <c r="G62" i="11" s="1"/>
  <c r="H62" i="11" s="1"/>
  <c r="E14" i="3"/>
  <c r="E14" i="13"/>
  <c r="G19" i="2"/>
  <c r="G62" i="2" s="1"/>
  <c r="H62" i="2" s="1"/>
  <c r="G25" i="2"/>
  <c r="G26" i="2"/>
  <c r="J16" i="6"/>
  <c r="J17" i="6"/>
  <c r="J23" i="6"/>
  <c r="J20" i="6"/>
  <c r="D18" i="13"/>
  <c r="J10" i="6"/>
  <c r="H15" i="6"/>
  <c r="J15" i="6" s="1"/>
  <c r="J24" i="6"/>
  <c r="J18" i="1"/>
  <c r="J19" i="1"/>
  <c r="J21" i="1"/>
  <c r="J24" i="1"/>
  <c r="I10" i="1"/>
  <c r="I11" i="6"/>
  <c r="J11" i="6" s="1"/>
  <c r="H12" i="6"/>
  <c r="E15" i="12"/>
  <c r="F70" i="12" s="1"/>
  <c r="G70" i="12" s="1"/>
  <c r="H70" i="12" s="1"/>
  <c r="E15" i="14"/>
  <c r="F71" i="14" s="1"/>
  <c r="G71" i="14" s="1"/>
  <c r="H71" i="14" s="1"/>
  <c r="H72" i="14" s="1"/>
  <c r="E14" i="14"/>
  <c r="F58" i="14" s="1"/>
  <c r="H58" i="14" s="1"/>
  <c r="G58" i="14" s="1"/>
  <c r="D19" i="12"/>
  <c r="D19" i="11"/>
  <c r="I12" i="6"/>
  <c r="I12" i="1"/>
  <c r="G72" i="14" l="1"/>
  <c r="I14" i="1"/>
  <c r="J14" i="1" s="1"/>
  <c r="F58" i="1"/>
  <c r="H58" i="1" s="1"/>
  <c r="G58" i="1" s="1"/>
  <c r="G70" i="1" s="1"/>
  <c r="H59" i="1"/>
  <c r="E66" i="2"/>
  <c r="G66" i="2" s="1"/>
  <c r="F58" i="13"/>
  <c r="H58" i="13" s="1"/>
  <c r="J12" i="1"/>
  <c r="E14" i="12"/>
  <c r="F58" i="12" s="1"/>
  <c r="H58" i="12" s="1"/>
  <c r="J14" i="6"/>
  <c r="I13" i="6"/>
  <c r="J13" i="6" s="1"/>
  <c r="J12" i="6"/>
  <c r="J10" i="1"/>
  <c r="I13" i="1"/>
  <c r="J13" i="1" s="1"/>
  <c r="E14" i="2"/>
  <c r="F58" i="2" s="1"/>
  <c r="H58" i="2" s="1"/>
  <c r="G58" i="2" s="1"/>
  <c r="G71" i="2" s="1"/>
  <c r="G58" i="12" l="1"/>
  <c r="G71" i="12" s="1"/>
  <c r="H71" i="12"/>
  <c r="H70" i="1"/>
  <c r="H66" i="2"/>
  <c r="H71" i="2" s="1"/>
  <c r="G58" i="13"/>
  <c r="G71" i="13" s="1"/>
  <c r="H71" i="13"/>
  <c r="J28" i="6"/>
  <c r="L27" i="6" s="1"/>
  <c r="L25" i="6" s="1"/>
  <c r="R16" i="2"/>
  <c r="R11" i="13" l="1"/>
  <c r="R12" i="11"/>
  <c r="R12" i="3"/>
  <c r="R14" i="6"/>
  <c r="J30" i="6"/>
  <c r="R13" i="14" l="1"/>
  <c r="R13" i="12" l="1"/>
  <c r="J11" i="1"/>
  <c r="J27" i="1" s="1"/>
  <c r="L27" i="1" l="1"/>
  <c r="L25" i="1" s="1"/>
  <c r="J29" i="1"/>
  <c r="R16" i="1"/>
</calcChain>
</file>

<file path=xl/sharedStrings.xml><?xml version="1.0" encoding="utf-8"?>
<sst xmlns="http://schemas.openxmlformats.org/spreadsheetml/2006/main" count="495" uniqueCount="103">
  <si>
    <t>CLIENT</t>
  </si>
  <si>
    <t>LARGEUR</t>
  </si>
  <si>
    <t>HAUTEUR</t>
  </si>
  <si>
    <t>QTITE</t>
  </si>
  <si>
    <t>DESCRIPTION</t>
  </si>
  <si>
    <t>DEBIT MM</t>
  </si>
  <si>
    <t>QUANTITE</t>
  </si>
  <si>
    <t>COULISSE</t>
  </si>
  <si>
    <t>CAISSON</t>
  </si>
  <si>
    <t>AXE</t>
  </si>
  <si>
    <t>LAME</t>
  </si>
  <si>
    <t>LAME FINALE</t>
  </si>
  <si>
    <t>JOUE (paire)</t>
  </si>
  <si>
    <t>CONTREPLAQUE (paire)</t>
  </si>
  <si>
    <t>TREUIL</t>
  </si>
  <si>
    <t>MANCHON</t>
  </si>
  <si>
    <t>TULIPE (paire)</t>
  </si>
  <si>
    <t>BUTEE ARRET (paire)</t>
  </si>
  <si>
    <t>ATTACHE TABLIER</t>
  </si>
  <si>
    <t>EMBOUT TELESCOPIQUE</t>
  </si>
  <si>
    <t>MANIVELLE</t>
  </si>
  <si>
    <t>SORTIE SECOURS</t>
  </si>
  <si>
    <t>Droite int.</t>
  </si>
  <si>
    <t xml:space="preserve">unite </t>
  </si>
  <si>
    <t>prix</t>
  </si>
  <si>
    <t>prix/ml</t>
  </si>
  <si>
    <t>lame</t>
  </si>
  <si>
    <t>lame finale</t>
  </si>
  <si>
    <t>caisson</t>
  </si>
  <si>
    <t>coulisse</t>
  </si>
  <si>
    <t>axe</t>
  </si>
  <si>
    <t>joue</t>
  </si>
  <si>
    <t>contre-plaque</t>
  </si>
  <si>
    <t>treuil</t>
  </si>
  <si>
    <t>1/11éme</t>
  </si>
  <si>
    <t>manchon</t>
  </si>
  <si>
    <t>tulipe</t>
  </si>
  <si>
    <t>butée arrêt</t>
  </si>
  <si>
    <t>attache tablier</t>
  </si>
  <si>
    <t>embout téléscopique</t>
  </si>
  <si>
    <t>roulement à bille avec plaque</t>
  </si>
  <si>
    <t>manivelle</t>
  </si>
  <si>
    <t>sortie de secours</t>
  </si>
  <si>
    <t>ALLEGE</t>
  </si>
  <si>
    <t>VOLET ROULANT ELECTRIQUE SANS ALLEGE</t>
  </si>
  <si>
    <t>VOLET ROULANT ELECTRIQUE AVEC  ALLEGE</t>
  </si>
  <si>
    <t>VOLET ROULANT MANUEL AVEC ALLEGE</t>
  </si>
  <si>
    <t>MOTEUR</t>
  </si>
  <si>
    <t xml:space="preserve"> SORTIE SECOURS</t>
  </si>
  <si>
    <t>VOLET ROULANT MANUEL SANS ALLEGE</t>
  </si>
  <si>
    <t>POSE EN APPLIQUE</t>
  </si>
  <si>
    <t>POSE ENTRE TABLEAU</t>
  </si>
  <si>
    <t>pour affichage plein ecran</t>
  </si>
  <si>
    <t>Application.DisplayFullScreen = True</t>
  </si>
  <si>
    <t xml:space="preserve">    Sheets("Feuil1").Select</t>
  </si>
  <si>
    <t>u</t>
  </si>
  <si>
    <t>paire</t>
  </si>
  <si>
    <t>prix ml ou u</t>
  </si>
  <si>
    <t>total</t>
  </si>
  <si>
    <t>ml</t>
  </si>
  <si>
    <t>pose en applique</t>
  </si>
  <si>
    <t>TULIPE</t>
  </si>
  <si>
    <t>Pour faire apparaître le formulaire : ctrl+q</t>
  </si>
  <si>
    <t>Prix unitaire de vente</t>
  </si>
  <si>
    <t>Prix  total vente :</t>
  </si>
  <si>
    <t>Prix total vente :</t>
  </si>
  <si>
    <t>Prix unitaire de vente:</t>
  </si>
  <si>
    <t>Prix total achat</t>
  </si>
  <si>
    <t>Prix unitaire achat</t>
  </si>
  <si>
    <t>VRM SA applique</t>
  </si>
  <si>
    <t>VRM ALL applique</t>
  </si>
  <si>
    <t>VRE SA applique</t>
  </si>
  <si>
    <t>VRE ALL applique</t>
  </si>
  <si>
    <t>VRM SA TABLEAU</t>
  </si>
  <si>
    <t>VRM ALL TABLEAU</t>
  </si>
  <si>
    <t>VRE SA TABLEAU</t>
  </si>
  <si>
    <t>VRE ALL TABLEAU</t>
  </si>
  <si>
    <t>QUANTITE PAR VOLET</t>
  </si>
  <si>
    <t>QUANTITE TOTALE</t>
  </si>
  <si>
    <t>COTE TOTAL</t>
  </si>
  <si>
    <t>GG</t>
  </si>
  <si>
    <t>HHH</t>
  </si>
  <si>
    <t>JJJ</t>
  </si>
  <si>
    <t>Moteur 50 nw</t>
  </si>
  <si>
    <t>HH</t>
  </si>
  <si>
    <t>Gauche int.</t>
  </si>
  <si>
    <t>MOI</t>
  </si>
  <si>
    <t>prix u</t>
  </si>
  <si>
    <t>prix total</t>
  </si>
  <si>
    <t>lame finale = joint</t>
  </si>
  <si>
    <t>piece</t>
  </si>
  <si>
    <t>contre plaque</t>
  </si>
  <si>
    <t>Plaque support</t>
  </si>
  <si>
    <t>250/300</t>
  </si>
  <si>
    <t>moteur couronne roue plaque</t>
  </si>
  <si>
    <t>COULISSE+JOINT</t>
  </si>
  <si>
    <t>CAISSON AVANT ARRIERE</t>
  </si>
  <si>
    <t>TOTAL</t>
  </si>
  <si>
    <t xml:space="preserve">PRIX TOTAL </t>
  </si>
  <si>
    <t xml:space="preserve">PRIX UNITAIRE </t>
  </si>
  <si>
    <t>MOTEUR COURONNE ROUE PLAQ</t>
  </si>
  <si>
    <t>Allege</t>
  </si>
  <si>
    <t>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</si>
</sst>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_€"/>
    <numFmt numFmtId="165" formatCode="#,##0\ &quot;€&quot;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9" tint="-0.2499465926084170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thick">
        <color auto="1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2" fillId="2" borderId="1" xfId="0" applyFont="1" applyFill="1" applyBorder="1" applyAlignment="1">
      <alignment horizontal="center" vertical="top"/>
    </xf>
    <xf numFmtId="0" fontId="2" fillId="2" borderId="3" xfId="0" applyFont="1" applyFill="1" applyBorder="1" applyAlignment="1">
      <alignment horizontal="center" vertical="top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0" fillId="0" borderId="10" xfId="0" applyBorder="1" applyAlignment="1">
      <alignment horizontal="right" vertical="center" indent="2"/>
    </xf>
    <xf numFmtId="0" fontId="0" fillId="0" borderId="4" xfId="0" applyBorder="1" applyAlignment="1">
      <alignment horizontal="right" vertical="center" indent="2"/>
    </xf>
    <xf numFmtId="0" fontId="0" fillId="0" borderId="15" xfId="0" applyBorder="1"/>
    <xf numFmtId="0" fontId="4" fillId="0" borderId="0" xfId="0" applyFont="1" applyAlignment="1">
      <alignment horizontal="center" vertical="center"/>
    </xf>
    <xf numFmtId="2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4" xfId="0" applyNumberFormat="1" applyBorder="1" applyAlignment="1">
      <alignment horizontal="right" vertical="center" indent="2"/>
    </xf>
    <xf numFmtId="0" fontId="0" fillId="0" borderId="4" xfId="0" applyBorder="1"/>
    <xf numFmtId="0" fontId="0" fillId="0" borderId="15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top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right" vertical="center" indent="2"/>
    </xf>
    <xf numFmtId="0" fontId="0" fillId="0" borderId="1" xfId="0" applyBorder="1"/>
    <xf numFmtId="49" fontId="0" fillId="0" borderId="1" xfId="0" applyNumberFormat="1" applyBorder="1" applyAlignment="1">
      <alignment horizontal="right" vertical="center" indent="2"/>
    </xf>
    <xf numFmtId="0" fontId="0" fillId="0" borderId="1" xfId="0" applyNumberFormat="1" applyBorder="1" applyAlignment="1">
      <alignment horizontal="right" vertical="center" indent="2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164" fontId="0" fillId="0" borderId="0" xfId="0" applyNumberFormat="1" applyAlignment="1">
      <alignment horizontal="right" vertical="center" indent="2"/>
    </xf>
    <xf numFmtId="0" fontId="0" fillId="0" borderId="2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/>
    </xf>
    <xf numFmtId="2" fontId="0" fillId="0" borderId="0" xfId="0" applyNumberFormat="1" applyAlignment="1">
      <alignment horizontal="right" vertical="center"/>
    </xf>
    <xf numFmtId="0" fontId="0" fillId="0" borderId="4" xfId="0" applyNumberForma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3" fontId="0" fillId="0" borderId="0" xfId="0" applyNumberFormat="1" applyAlignment="1">
      <alignment horizontal="center"/>
    </xf>
    <xf numFmtId="0" fontId="5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/>
    <xf numFmtId="165" fontId="2" fillId="0" borderId="0" xfId="0" applyNumberFormat="1" applyFont="1" applyAlignment="1">
      <alignment horizontal="center" vertical="center"/>
    </xf>
    <xf numFmtId="164" fontId="2" fillId="0" borderId="0" xfId="0" applyNumberFormat="1" applyFont="1"/>
    <xf numFmtId="165" fontId="2" fillId="0" borderId="0" xfId="0" applyNumberFormat="1" applyFont="1" applyAlignment="1">
      <alignment horizontal="center"/>
    </xf>
    <xf numFmtId="166" fontId="0" fillId="0" borderId="0" xfId="0" applyNumberFormat="1"/>
    <xf numFmtId="0" fontId="0" fillId="0" borderId="0" xfId="0" applyAlignment="1">
      <alignment horizontal="left" vertical="center" indent="4"/>
    </xf>
    <xf numFmtId="0" fontId="3" fillId="3" borderId="8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left" vertical="center" indent="4"/>
    </xf>
    <xf numFmtId="1" fontId="0" fillId="0" borderId="4" xfId="0" applyNumberFormat="1" applyBorder="1" applyAlignment="1">
      <alignment horizontal="left" vertical="center" indent="4"/>
    </xf>
    <xf numFmtId="0" fontId="0" fillId="0" borderId="4" xfId="0" applyBorder="1" applyAlignment="1">
      <alignment horizontal="left" indent="4"/>
    </xf>
    <xf numFmtId="0" fontId="3" fillId="3" borderId="19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3" fillId="3" borderId="18" xfId="0" applyFont="1" applyFill="1" applyBorder="1" applyAlignment="1">
      <alignment horizontal="center" vertical="center"/>
    </xf>
    <xf numFmtId="1" fontId="0" fillId="3" borderId="11" xfId="0" applyNumberFormat="1" applyFill="1" applyBorder="1" applyAlignment="1">
      <alignment horizontal="center" vertical="center"/>
    </xf>
    <xf numFmtId="1" fontId="0" fillId="3" borderId="13" xfId="0" applyNumberForma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3" borderId="31" xfId="0" applyNumberForma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1" fontId="0" fillId="3" borderId="30" xfId="0" applyNumberFormat="1" applyFill="1" applyBorder="1" applyAlignment="1">
      <alignment horizontal="center" vertical="center"/>
    </xf>
    <xf numFmtId="1" fontId="0" fillId="3" borderId="27" xfId="0" applyNumberFormat="1" applyFill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3" borderId="29" xfId="0" applyFill="1" applyBorder="1"/>
    <xf numFmtId="2" fontId="0" fillId="0" borderId="4" xfId="0" applyNumberFormat="1" applyBorder="1"/>
    <xf numFmtId="166" fontId="0" fillId="0" borderId="4" xfId="0" applyNumberFormat="1" applyBorder="1"/>
    <xf numFmtId="0" fontId="0" fillId="0" borderId="31" xfId="0" applyBorder="1" applyAlignment="1">
      <alignment horizontal="left" vertical="center"/>
    </xf>
    <xf numFmtId="0" fontId="0" fillId="0" borderId="42" xfId="0" applyBorder="1"/>
    <xf numFmtId="0" fontId="0" fillId="0" borderId="40" xfId="0" applyBorder="1" applyAlignment="1">
      <alignment horizontal="center" vertical="center"/>
    </xf>
    <xf numFmtId="0" fontId="3" fillId="2" borderId="43" xfId="0" applyFont="1" applyFill="1" applyBorder="1" applyAlignment="1">
      <alignment horizontal="center" vertical="center" wrapText="1"/>
    </xf>
    <xf numFmtId="0" fontId="0" fillId="0" borderId="0" xfId="0" applyBorder="1"/>
    <xf numFmtId="4" fontId="8" fillId="0" borderId="0" xfId="0" applyNumberFormat="1" applyFont="1" applyAlignment="1">
      <alignment horizontal="right" vertical="center" indent="2"/>
    </xf>
    <xf numFmtId="164" fontId="8" fillId="0" borderId="0" xfId="0" applyNumberFormat="1" applyFont="1" applyAlignment="1">
      <alignment horizontal="right" vertical="center" indent="2"/>
    </xf>
    <xf numFmtId="0" fontId="0" fillId="0" borderId="5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0" xfId="0" applyAlignment="1"/>
    <xf numFmtId="0" fontId="1" fillId="2" borderId="2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6" fillId="4" borderId="39" xfId="0" applyFont="1" applyFill="1" applyBorder="1" applyAlignment="1">
      <alignment horizontal="center" vertical="center"/>
    </xf>
    <xf numFmtId="0" fontId="6" fillId="4" borderId="40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31" xfId="0" applyBorder="1" applyAlignment="1"/>
    <xf numFmtId="0" fontId="0" fillId="0" borderId="24" xfId="0" applyBorder="1" applyAlignment="1"/>
    <xf numFmtId="0" fontId="0" fillId="0" borderId="4" xfId="0" applyBorder="1" applyAlignment="1"/>
    <xf numFmtId="0" fontId="0" fillId="0" borderId="1" xfId="0" applyBorder="1" applyAlignment="1">
      <alignment horizontal="left" vertical="center"/>
    </xf>
    <xf numFmtId="0" fontId="3" fillId="3" borderId="38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3" fillId="3" borderId="27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2" fontId="3" fillId="3" borderId="29" xfId="0" applyNumberFormat="1" applyFont="1" applyFill="1" applyBorder="1" applyAlignment="1"/>
    <xf numFmtId="0" fontId="3" fillId="3" borderId="29" xfId="0" applyFont="1" applyFill="1" applyBorder="1" applyAlignment="1"/>
    <xf numFmtId="2" fontId="3" fillId="0" borderId="0" xfId="0" applyNumberFormat="1" applyFont="1" applyAlignment="1"/>
    <xf numFmtId="0" fontId="3" fillId="0" borderId="0" xfId="0" applyFont="1" applyAlignment="1"/>
    <xf numFmtId="0" fontId="9" fillId="0" borderId="0" xfId="0" applyFont="1" applyAlignment="1">
      <alignment horizontal="center" vertical="center"/>
    </xf>
    <xf numFmtId="0" fontId="9" fillId="0" borderId="0" xfId="0" applyFont="1"/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206375</xdr:colOff>
      <xdr:row>26</xdr:row>
      <xdr:rowOff>139700</xdr:rowOff>
    </xdr:from>
    <xdr:to>
      <xdr:col>6</xdr:col>
      <xdr:colOff>820290</xdr:colOff>
      <xdr:row>41</xdr:row>
      <xdr:rowOff>161925</xdr:rowOff>
    </xdr:to>
    <xdr:pic>
      <xdr:nvPicPr>
        <xdr:cNvPr id="3" name="Image 2" descr="Composition1.jp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6375" y="6388100"/>
          <a:ext cx="5998715" cy="29432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895350</xdr:colOff>
          <xdr:row>1</xdr:row>
          <xdr:rowOff>19050</xdr:rowOff>
        </xdr:from>
        <xdr:to>
          <xdr:col>8</xdr:col>
          <xdr:colOff>390525</xdr:colOff>
          <xdr:row>2</xdr:row>
          <xdr:rowOff>219075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17</xdr:row>
          <xdr:rowOff>38100</xdr:rowOff>
        </xdr:from>
        <xdr:to>
          <xdr:col>16</xdr:col>
          <xdr:colOff>733425</xdr:colOff>
          <xdr:row>19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vers cout achat chantier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101603</xdr:colOff>
      <xdr:row>26</xdr:row>
      <xdr:rowOff>104775</xdr:rowOff>
    </xdr:from>
    <xdr:to>
      <xdr:col>6</xdr:col>
      <xdr:colOff>830178</xdr:colOff>
      <xdr:row>43</xdr:row>
      <xdr:rowOff>92791</xdr:rowOff>
    </xdr:to>
    <xdr:pic>
      <xdr:nvPicPr>
        <xdr:cNvPr id="2" name="Image 1" descr="Composition1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46103" y="6581775"/>
          <a:ext cx="5986375" cy="329001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</xdr:row>
          <xdr:rowOff>19050</xdr:rowOff>
        </xdr:from>
        <xdr:to>
          <xdr:col>8</xdr:col>
          <xdr:colOff>609600</xdr:colOff>
          <xdr:row>2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17</xdr:row>
          <xdr:rowOff>38100</xdr:rowOff>
        </xdr:from>
        <xdr:to>
          <xdr:col>16</xdr:col>
          <xdr:colOff>733425</xdr:colOff>
          <xdr:row>19</xdr:row>
          <xdr:rowOff>38100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vers cout achat chantier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28</xdr:row>
      <xdr:rowOff>0</xdr:rowOff>
    </xdr:from>
    <xdr:to>
      <xdr:col>6</xdr:col>
      <xdr:colOff>1003300</xdr:colOff>
      <xdr:row>43</xdr:row>
      <xdr:rowOff>50800</xdr:rowOff>
    </xdr:to>
    <xdr:pic>
      <xdr:nvPicPr>
        <xdr:cNvPr id="2" name="Image 1" descr="Composition1.jp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06400" y="6223000"/>
          <a:ext cx="6032500" cy="29083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0</xdr:rowOff>
        </xdr:from>
        <xdr:to>
          <xdr:col>8</xdr:col>
          <xdr:colOff>723900</xdr:colOff>
          <xdr:row>2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13</xdr:row>
          <xdr:rowOff>38100</xdr:rowOff>
        </xdr:from>
        <xdr:to>
          <xdr:col>16</xdr:col>
          <xdr:colOff>733425</xdr:colOff>
          <xdr:row>15</xdr:row>
          <xdr:rowOff>38100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vers cout achat chantier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101600</xdr:colOff>
      <xdr:row>27</xdr:row>
      <xdr:rowOff>152400</xdr:rowOff>
    </xdr:from>
    <xdr:to>
      <xdr:col>6</xdr:col>
      <xdr:colOff>850900</xdr:colOff>
      <xdr:row>45</xdr:row>
      <xdr:rowOff>90899</xdr:rowOff>
    </xdr:to>
    <xdr:pic>
      <xdr:nvPicPr>
        <xdr:cNvPr id="2" name="Image 1" descr="Composition1.jpg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46100" y="6426200"/>
          <a:ext cx="5829300" cy="33801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</xdr:row>
          <xdr:rowOff>9525</xdr:rowOff>
        </xdr:from>
        <xdr:to>
          <xdr:col>8</xdr:col>
          <xdr:colOff>752475</xdr:colOff>
          <xdr:row>2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15</xdr:row>
          <xdr:rowOff>38100</xdr:rowOff>
        </xdr:from>
        <xdr:to>
          <xdr:col>16</xdr:col>
          <xdr:colOff>733425</xdr:colOff>
          <xdr:row>17</xdr:row>
          <xdr:rowOff>38100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vers cout achat chantier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711200</xdr:colOff>
      <xdr:row>26</xdr:row>
      <xdr:rowOff>127000</xdr:rowOff>
    </xdr:from>
    <xdr:to>
      <xdr:col>6</xdr:col>
      <xdr:colOff>864740</xdr:colOff>
      <xdr:row>42</xdr:row>
      <xdr:rowOff>22225</xdr:rowOff>
    </xdr:to>
    <xdr:pic>
      <xdr:nvPicPr>
        <xdr:cNvPr id="2" name="Image 1" descr="Composition1.jpg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11200" y="6375400"/>
          <a:ext cx="5998715" cy="3006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895350</xdr:colOff>
          <xdr:row>1</xdr:row>
          <xdr:rowOff>19050</xdr:rowOff>
        </xdr:from>
        <xdr:to>
          <xdr:col>8</xdr:col>
          <xdr:colOff>733425</xdr:colOff>
          <xdr:row>2</xdr:row>
          <xdr:rowOff>219075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13</xdr:row>
          <xdr:rowOff>38100</xdr:rowOff>
        </xdr:from>
        <xdr:to>
          <xdr:col>16</xdr:col>
          <xdr:colOff>733425</xdr:colOff>
          <xdr:row>15</xdr:row>
          <xdr:rowOff>38100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vers cout achat chantier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25403</xdr:colOff>
      <xdr:row>26</xdr:row>
      <xdr:rowOff>117475</xdr:rowOff>
    </xdr:from>
    <xdr:to>
      <xdr:col>6</xdr:col>
      <xdr:colOff>753978</xdr:colOff>
      <xdr:row>43</xdr:row>
      <xdr:rowOff>105491</xdr:rowOff>
    </xdr:to>
    <xdr:pic>
      <xdr:nvPicPr>
        <xdr:cNvPr id="2" name="Image 1" descr="Composition1.jpg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44503" y="6594475"/>
          <a:ext cx="5986375" cy="329001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</xdr:row>
          <xdr:rowOff>19050</xdr:rowOff>
        </xdr:from>
        <xdr:to>
          <xdr:col>9</xdr:col>
          <xdr:colOff>0</xdr:colOff>
          <xdr:row>2</xdr:row>
          <xdr:rowOff>190500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14</xdr:row>
          <xdr:rowOff>38100</xdr:rowOff>
        </xdr:from>
        <xdr:to>
          <xdr:col>16</xdr:col>
          <xdr:colOff>733425</xdr:colOff>
          <xdr:row>16</xdr:row>
          <xdr:rowOff>38100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vers cout achat chantier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28</xdr:row>
      <xdr:rowOff>0</xdr:rowOff>
    </xdr:from>
    <xdr:to>
      <xdr:col>6</xdr:col>
      <xdr:colOff>914400</xdr:colOff>
      <xdr:row>42</xdr:row>
      <xdr:rowOff>165100</xdr:rowOff>
    </xdr:to>
    <xdr:pic>
      <xdr:nvPicPr>
        <xdr:cNvPr id="2" name="Image 1" descr="Composition1.jpg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31800" y="6223000"/>
          <a:ext cx="5943600" cy="28321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0</xdr:rowOff>
        </xdr:from>
        <xdr:to>
          <xdr:col>8</xdr:col>
          <xdr:colOff>723900</xdr:colOff>
          <xdr:row>2</xdr:row>
          <xdr:rowOff>180975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12</xdr:row>
          <xdr:rowOff>38100</xdr:rowOff>
        </xdr:from>
        <xdr:to>
          <xdr:col>16</xdr:col>
          <xdr:colOff>733425</xdr:colOff>
          <xdr:row>14</xdr:row>
          <xdr:rowOff>38100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7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vers cout achat chantier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419100</xdr:colOff>
      <xdr:row>28</xdr:row>
      <xdr:rowOff>50800</xdr:rowOff>
    </xdr:from>
    <xdr:to>
      <xdr:col>6</xdr:col>
      <xdr:colOff>939800</xdr:colOff>
      <xdr:row>46</xdr:row>
      <xdr:rowOff>1999</xdr:rowOff>
    </xdr:to>
    <xdr:pic>
      <xdr:nvPicPr>
        <xdr:cNvPr id="2" name="Image 1" descr="Composition1.jpg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9100" y="6527800"/>
          <a:ext cx="6045200" cy="33801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</xdr:row>
          <xdr:rowOff>9525</xdr:rowOff>
        </xdr:from>
        <xdr:to>
          <xdr:col>8</xdr:col>
          <xdr:colOff>752475</xdr:colOff>
          <xdr:row>2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14</xdr:row>
          <xdr:rowOff>38100</xdr:rowOff>
        </xdr:from>
        <xdr:to>
          <xdr:col>16</xdr:col>
          <xdr:colOff>733425</xdr:colOff>
          <xdr:row>16</xdr:row>
          <xdr:rowOff>38100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8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vers cout achat chantier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2:R70"/>
  <sheetViews>
    <sheetView tabSelected="1" zoomScale="75" zoomScaleNormal="75" workbookViewId="0">
      <selection activeCell="L12" sqref="L12"/>
    </sheetView>
  </sheetViews>
  <sheetFormatPr baseColWidth="10" defaultRowHeight="15" x14ac:dyDescent="0.25"/>
  <cols>
    <col min="1" max="1" width="6.7109375" customWidth="1"/>
    <col min="3" max="3" width="18.85546875" customWidth="1"/>
    <col min="4" max="4" width="13.28515625" customWidth="1"/>
    <col min="5" max="5" width="18" customWidth="1"/>
    <col min="6" max="6" width="12.28515625" customWidth="1"/>
    <col min="7" max="7" width="13.5703125" customWidth="1"/>
    <col min="8" max="8" width="16.5703125" customWidth="1"/>
    <col min="12" max="12" width="29" customWidth="1"/>
    <col min="14" max="14" width="18.140625" customWidth="1"/>
  </cols>
  <sheetData>
    <row r="2" spans="2:18" ht="18.75" x14ac:dyDescent="0.25">
      <c r="C2" s="107" t="s">
        <v>49</v>
      </c>
      <c r="D2" s="107"/>
      <c r="E2" s="107"/>
    </row>
    <row r="3" spans="2:18" ht="18.75" x14ac:dyDescent="0.25">
      <c r="C3" s="107" t="s">
        <v>50</v>
      </c>
      <c r="D3" s="107"/>
      <c r="E3" s="107"/>
      <c r="M3" t="s">
        <v>52</v>
      </c>
    </row>
    <row r="4" spans="2:18" ht="15.75" thickBot="1" x14ac:dyDescent="0.3">
      <c r="D4" s="138">
        <v>60</v>
      </c>
      <c r="M4" t="s">
        <v>53</v>
      </c>
    </row>
    <row r="5" spans="2:18" ht="20.25" thickTop="1" thickBot="1" x14ac:dyDescent="0.3">
      <c r="B5" s="93" t="s">
        <v>0</v>
      </c>
      <c r="C5" s="94"/>
      <c r="D5" s="2" t="s">
        <v>1</v>
      </c>
      <c r="E5" s="1" t="s">
        <v>2</v>
      </c>
      <c r="F5" s="1" t="s">
        <v>3</v>
      </c>
      <c r="G5" s="15"/>
      <c r="M5" t="s">
        <v>54</v>
      </c>
    </row>
    <row r="6" spans="2:18" ht="20.25" thickTop="1" thickBot="1" x14ac:dyDescent="0.3">
      <c r="B6" s="95" t="s">
        <v>102</v>
      </c>
      <c r="C6" s="96"/>
      <c r="D6" s="3">
        <v>1500</v>
      </c>
      <c r="E6" s="3">
        <v>1500</v>
      </c>
      <c r="F6" s="3">
        <v>1</v>
      </c>
      <c r="G6" s="16"/>
      <c r="H6" s="44" t="s">
        <v>62</v>
      </c>
    </row>
    <row r="7" spans="2:18" ht="15.75" thickTop="1" x14ac:dyDescent="0.25">
      <c r="B7" s="101" t="s">
        <v>79</v>
      </c>
      <c r="C7" s="102"/>
      <c r="D7" s="105">
        <f>D6+D10*2</f>
        <v>1652</v>
      </c>
      <c r="E7" s="105">
        <f>E6+50+D11</f>
        <v>1800</v>
      </c>
    </row>
    <row r="8" spans="2:18" ht="15.75" thickBot="1" x14ac:dyDescent="0.3">
      <c r="B8" s="103"/>
      <c r="C8" s="104"/>
      <c r="D8" s="106"/>
      <c r="E8" s="106"/>
    </row>
    <row r="9" spans="2:18" ht="31.5" customHeight="1" thickBot="1" x14ac:dyDescent="0.3">
      <c r="B9" s="108" t="s">
        <v>4</v>
      </c>
      <c r="C9" s="109"/>
      <c r="D9" s="110"/>
      <c r="E9" s="5" t="s">
        <v>5</v>
      </c>
      <c r="F9" s="52" t="s">
        <v>78</v>
      </c>
      <c r="G9" s="53" t="s">
        <v>77</v>
      </c>
      <c r="H9" s="22" t="s">
        <v>57</v>
      </c>
      <c r="I9" s="22" t="s">
        <v>59</v>
      </c>
      <c r="J9" s="32" t="s">
        <v>58</v>
      </c>
    </row>
    <row r="10" spans="2:18" ht="20.25" customHeight="1" thickTop="1" thickBot="1" x14ac:dyDescent="0.3">
      <c r="B10" s="97" t="s">
        <v>7</v>
      </c>
      <c r="C10" s="98"/>
      <c r="D10" s="6">
        <v>76</v>
      </c>
      <c r="E10" s="6">
        <f>E6+50</f>
        <v>1550</v>
      </c>
      <c r="F10" s="69">
        <f>F6*2</f>
        <v>2</v>
      </c>
      <c r="G10" s="54">
        <f>F10/F6</f>
        <v>2</v>
      </c>
      <c r="H10" s="34">
        <f>IF(D10=66,base!E11,IF(D10=76,base!E12,IF(D10=80,base!E13,IF(D10=95,base!E14))))</f>
        <v>7.5741379310344827</v>
      </c>
      <c r="I10">
        <f>E10/1000</f>
        <v>1.55</v>
      </c>
      <c r="J10" s="10">
        <f>I10*H10*F10</f>
        <v>23.479827586206898</v>
      </c>
    </row>
    <row r="11" spans="2:18" ht="20.25" customHeight="1" thickBot="1" x14ac:dyDescent="0.3">
      <c r="B11" s="99" t="s">
        <v>8</v>
      </c>
      <c r="C11" s="100"/>
      <c r="D11" s="7">
        <v>250</v>
      </c>
      <c r="E11" s="7">
        <f>IF(D11=250,D6+(D10*2)-6,IF(D11=300,D6+(D10*2)-6,IF(D11=205,D6+(D10*2)-12,IF(D11=180,D6+(D10*2)-12))))</f>
        <v>1646</v>
      </c>
      <c r="F11" s="67">
        <f>G11*F6</f>
        <v>1</v>
      </c>
      <c r="G11" s="54">
        <f>F6</f>
        <v>1</v>
      </c>
      <c r="H11" s="35">
        <f>IF(D11=205,base!E8,IF(D11=180,base!E7,IF(D11=250,base!E9,IF(D11=300,base!E10))))</f>
        <v>24.501724137931038</v>
      </c>
      <c r="I11">
        <f>E11/1000</f>
        <v>1.6459999999999999</v>
      </c>
      <c r="J11" s="10">
        <f t="shared" ref="J11:J14" si="0">I11*H11*F11</f>
        <v>40.32983793103449</v>
      </c>
    </row>
    <row r="12" spans="2:18" ht="20.25" customHeight="1" thickBot="1" x14ac:dyDescent="0.3">
      <c r="B12" s="99" t="s">
        <v>9</v>
      </c>
      <c r="C12" s="100"/>
      <c r="D12" s="7">
        <v>80</v>
      </c>
      <c r="E12" s="7">
        <f>IF(D11=300,D6-150,IF(D11=250,D6-150,IF(D11=205,D6-100,IF(D11=180,D6-100))))</f>
        <v>1350</v>
      </c>
      <c r="F12" s="67">
        <f>F6</f>
        <v>1</v>
      </c>
      <c r="G12" s="54">
        <f>F12/F6</f>
        <v>1</v>
      </c>
      <c r="H12" s="34">
        <f>IF(D12=60,base!E15,base!E16)</f>
        <v>6.0283333333333333</v>
      </c>
      <c r="I12">
        <f>E12/1000</f>
        <v>1.35</v>
      </c>
      <c r="J12" s="10">
        <f t="shared" si="0"/>
        <v>8.1382500000000011</v>
      </c>
    </row>
    <row r="13" spans="2:18" ht="20.25" customHeight="1" thickBot="1" x14ac:dyDescent="0.3">
      <c r="B13" s="99" t="s">
        <v>10</v>
      </c>
      <c r="C13" s="100"/>
      <c r="D13" s="7">
        <v>45</v>
      </c>
      <c r="E13" s="7">
        <f>IF(D10=95,D7-92,IF(D10=76,D7-92,IF(D10=80,D7-72,IF(D10=66,D7-72))))</f>
        <v>1560</v>
      </c>
      <c r="F13" s="67">
        <f>(E10/D13+1)*F6</f>
        <v>35.444444444444443</v>
      </c>
      <c r="G13" s="54">
        <f>ROUNDUP(F13/F6,0)</f>
        <v>36</v>
      </c>
      <c r="H13" s="34">
        <f>IF(D13=45,base!E3,base!E4)</f>
        <v>0</v>
      </c>
      <c r="I13">
        <f>E13/1000</f>
        <v>1.56</v>
      </c>
      <c r="J13" s="10">
        <f t="shared" si="0"/>
        <v>0</v>
      </c>
    </row>
    <row r="14" spans="2:18" ht="20.25" customHeight="1" thickBot="1" x14ac:dyDescent="0.3">
      <c r="B14" s="99" t="s">
        <v>11</v>
      </c>
      <c r="C14" s="100"/>
      <c r="D14" s="7">
        <f>D13</f>
        <v>45</v>
      </c>
      <c r="E14" s="7">
        <f>E13</f>
        <v>1560</v>
      </c>
      <c r="F14" s="67">
        <f>F6</f>
        <v>1</v>
      </c>
      <c r="G14" s="54">
        <f>F14/F6</f>
        <v>1</v>
      </c>
      <c r="H14" s="34">
        <f>IF(D14=45,base!E5,base!E6)</f>
        <v>0</v>
      </c>
      <c r="I14">
        <f t="shared" ref="I14" si="1">E14/1000</f>
        <v>1.56</v>
      </c>
      <c r="J14" s="10">
        <f t="shared" si="0"/>
        <v>0</v>
      </c>
    </row>
    <row r="15" spans="2:18" ht="20.25" hidden="1" customHeight="1" thickBot="1" x14ac:dyDescent="0.3">
      <c r="B15" s="39"/>
      <c r="C15" s="40"/>
      <c r="D15" s="7"/>
      <c r="E15" s="7"/>
      <c r="F15" s="64"/>
      <c r="G15" s="51"/>
      <c r="H15" s="34"/>
      <c r="J15" s="10"/>
    </row>
    <row r="16" spans="2:18" ht="20.25" customHeight="1" thickBot="1" x14ac:dyDescent="0.3">
      <c r="B16" s="99" t="s">
        <v>12</v>
      </c>
      <c r="C16" s="100"/>
      <c r="D16" s="7">
        <f>D11</f>
        <v>250</v>
      </c>
      <c r="E16" s="7"/>
      <c r="F16" s="67">
        <f>F6</f>
        <v>1</v>
      </c>
      <c r="G16" s="54">
        <f>F16/F6</f>
        <v>1</v>
      </c>
      <c r="H16" s="34">
        <f>IF(D16=180,base!E18,IF(D16=205,base!E19,IF(D16=250,base!E20)))</f>
        <v>34.69</v>
      </c>
      <c r="J16" s="10">
        <f>H16*F16</f>
        <v>34.69</v>
      </c>
      <c r="M16" t="str">
        <f>B6</f>
        <v>GGG</v>
      </c>
      <c r="N16" t="s">
        <v>69</v>
      </c>
      <c r="O16">
        <f>D6</f>
        <v>1500</v>
      </c>
      <c r="P16">
        <f>E6</f>
        <v>1500</v>
      </c>
      <c r="Q16">
        <f>F6</f>
        <v>1</v>
      </c>
      <c r="R16" s="50">
        <f>J27</f>
        <v>153.28791551724137</v>
      </c>
    </row>
    <row r="17" spans="2:12" ht="20.25" customHeight="1" thickBot="1" x14ac:dyDescent="0.3">
      <c r="B17" s="99" t="s">
        <v>13</v>
      </c>
      <c r="C17" s="100"/>
      <c r="D17" s="7">
        <f>D11</f>
        <v>250</v>
      </c>
      <c r="E17" s="7"/>
      <c r="F17" s="67">
        <f>F6</f>
        <v>1</v>
      </c>
      <c r="G17" s="54">
        <f>F17/F6</f>
        <v>1</v>
      </c>
      <c r="H17" s="34">
        <f>IF(D17=180,base!E22,IF(D17=205,base!E23,IF(D17=250,base!E24)))</f>
        <v>0</v>
      </c>
      <c r="J17" s="10">
        <f t="shared" ref="J17:J26" si="2">H17*F17</f>
        <v>0</v>
      </c>
    </row>
    <row r="18" spans="2:12" ht="20.25" customHeight="1" thickBot="1" x14ac:dyDescent="0.3">
      <c r="B18" s="99" t="s">
        <v>14</v>
      </c>
      <c r="C18" s="100"/>
      <c r="D18" s="12" t="str">
        <f>base!B26</f>
        <v>1/11éme</v>
      </c>
      <c r="E18" s="7"/>
      <c r="F18" s="67">
        <f>F6</f>
        <v>1</v>
      </c>
      <c r="G18" s="54">
        <f>F18/F6</f>
        <v>1</v>
      </c>
      <c r="H18" s="34">
        <f>base!E26</f>
        <v>1</v>
      </c>
      <c r="J18" s="10">
        <f t="shared" si="2"/>
        <v>1</v>
      </c>
    </row>
    <row r="19" spans="2:12" ht="20.25" customHeight="1" thickBot="1" x14ac:dyDescent="0.3">
      <c r="B19" s="99" t="s">
        <v>15</v>
      </c>
      <c r="C19" s="100"/>
      <c r="D19" s="7">
        <f>D12</f>
        <v>80</v>
      </c>
      <c r="E19" s="7"/>
      <c r="F19" s="67">
        <f>F6</f>
        <v>1</v>
      </c>
      <c r="G19" s="54">
        <f>F19/F6</f>
        <v>1</v>
      </c>
      <c r="H19" s="34">
        <f>base!E27</f>
        <v>2</v>
      </c>
      <c r="J19" s="10">
        <f t="shared" si="2"/>
        <v>2</v>
      </c>
    </row>
    <row r="20" spans="2:12" ht="20.25" customHeight="1" thickBot="1" x14ac:dyDescent="0.3">
      <c r="B20" s="99" t="s">
        <v>16</v>
      </c>
      <c r="C20" s="100"/>
      <c r="D20" s="7">
        <f>D10</f>
        <v>76</v>
      </c>
      <c r="E20" s="7"/>
      <c r="F20" s="67">
        <f>F6</f>
        <v>1</v>
      </c>
      <c r="G20" s="54">
        <f>F20/F6</f>
        <v>1</v>
      </c>
      <c r="H20" s="34">
        <f>IF(D20=66,base!E28,base!E29)</f>
        <v>5.85</v>
      </c>
      <c r="J20" s="10">
        <f t="shared" si="2"/>
        <v>5.85</v>
      </c>
    </row>
    <row r="21" spans="2:12" ht="20.25" customHeight="1" thickBot="1" x14ac:dyDescent="0.3">
      <c r="B21" s="99" t="s">
        <v>17</v>
      </c>
      <c r="C21" s="100"/>
      <c r="D21" s="7"/>
      <c r="E21" s="7"/>
      <c r="F21" s="67">
        <f>F6</f>
        <v>1</v>
      </c>
      <c r="G21" s="54">
        <f>+IF(B27="MOTEUR",0,1)</f>
        <v>1</v>
      </c>
      <c r="H21" s="34">
        <f>base!E32</f>
        <v>3</v>
      </c>
      <c r="J21" s="10">
        <f t="shared" si="2"/>
        <v>3</v>
      </c>
    </row>
    <row r="22" spans="2:12" ht="18.75" customHeight="1" thickBot="1" x14ac:dyDescent="0.3">
      <c r="B22" s="99" t="s">
        <v>18</v>
      </c>
      <c r="C22" s="100"/>
      <c r="D22" s="7">
        <f>D13</f>
        <v>45</v>
      </c>
      <c r="E22" s="7"/>
      <c r="F22" s="67">
        <f>G22*F6</f>
        <v>3</v>
      </c>
      <c r="G22" s="54">
        <f>ROUNDUP((D6/500),0)</f>
        <v>3</v>
      </c>
      <c r="H22" s="34">
        <f>IF(D22=45,base!E33,base!E34)</f>
        <v>3</v>
      </c>
      <c r="J22" s="10">
        <f t="shared" si="2"/>
        <v>9</v>
      </c>
    </row>
    <row r="23" spans="2:12" ht="20.25" customHeight="1" thickBot="1" x14ac:dyDescent="0.3">
      <c r="B23" s="99" t="s">
        <v>19</v>
      </c>
      <c r="C23" s="100"/>
      <c r="D23" s="7">
        <v>54</v>
      </c>
      <c r="E23" s="7"/>
      <c r="F23" s="67">
        <f>F6</f>
        <v>1</v>
      </c>
      <c r="G23" s="54">
        <f>F23/F6</f>
        <v>1</v>
      </c>
      <c r="H23" s="34">
        <f>IF(D23=60,base!#REF!,base!E35)</f>
        <v>0</v>
      </c>
      <c r="J23" s="10">
        <f t="shared" si="2"/>
        <v>0</v>
      </c>
    </row>
    <row r="24" spans="2:12" ht="20.25" customHeight="1" thickBot="1" x14ac:dyDescent="0.35">
      <c r="B24" s="99" t="str">
        <f>IF(D11=250,"PLAQUE  SUPPORT GOUPILLE",IF(D11=300,"PLAQUE  SUPPORT GOUPILLE",IF(D11=205,"ROULEMENT A BILLES",IF(D11=180,"ROULEMENT A BILLES"))))</f>
        <v>PLAQUE  SUPPORT GOUPILLE</v>
      </c>
      <c r="C24" s="100"/>
      <c r="D24" s="22">
        <f>IF(D11=250,250,IF(D11=300,300,IF(D11=180,"diam 22",IF(D11=205,"diam 22"))))</f>
        <v>250</v>
      </c>
      <c r="E24" s="7"/>
      <c r="F24" s="67">
        <f>F6</f>
        <v>1</v>
      </c>
      <c r="G24" s="54">
        <f>F24/F6</f>
        <v>1</v>
      </c>
      <c r="H24" s="34">
        <f>IF(D24="dia 42",base!E39,base!E38)</f>
        <v>0</v>
      </c>
      <c r="J24" s="10">
        <f t="shared" si="2"/>
        <v>0</v>
      </c>
      <c r="L24" s="46" t="s">
        <v>63</v>
      </c>
    </row>
    <row r="25" spans="2:12" ht="20.25" customHeight="1" thickBot="1" x14ac:dyDescent="0.3">
      <c r="B25" s="99" t="s">
        <v>20</v>
      </c>
      <c r="C25" s="100"/>
      <c r="D25" s="7">
        <f>1</f>
        <v>1</v>
      </c>
      <c r="E25" s="7"/>
      <c r="F25" s="67">
        <f>F6</f>
        <v>1</v>
      </c>
      <c r="G25" s="54">
        <f>F25/F6</f>
        <v>1</v>
      </c>
      <c r="H25" s="34">
        <f>base!E40</f>
        <v>11.13</v>
      </c>
      <c r="J25" s="10">
        <f t="shared" si="2"/>
        <v>11.13</v>
      </c>
      <c r="L25" s="47">
        <f>L27/F6</f>
        <v>352.56220568965512</v>
      </c>
    </row>
    <row r="26" spans="2:12" ht="20.25" customHeight="1" thickBot="1" x14ac:dyDescent="0.35">
      <c r="B26" s="111" t="s">
        <v>21</v>
      </c>
      <c r="C26" s="112"/>
      <c r="D26" s="14" t="s">
        <v>22</v>
      </c>
      <c r="E26" s="8"/>
      <c r="F26" s="70">
        <f>F6</f>
        <v>1</v>
      </c>
      <c r="G26" s="54">
        <f>F26/F6</f>
        <v>1</v>
      </c>
      <c r="H26" s="34">
        <f>base!E41</f>
        <v>14.67</v>
      </c>
      <c r="J26" s="10">
        <f t="shared" si="2"/>
        <v>14.67</v>
      </c>
      <c r="L26" s="46" t="s">
        <v>64</v>
      </c>
    </row>
    <row r="27" spans="2:12" ht="19.5" thickTop="1" x14ac:dyDescent="0.25">
      <c r="D27">
        <v>50</v>
      </c>
      <c r="H27" s="92" t="s">
        <v>67</v>
      </c>
      <c r="I27" s="92"/>
      <c r="J27" s="10">
        <f>SUM(J10:J26)</f>
        <v>153.28791551724137</v>
      </c>
      <c r="L27" s="47">
        <f>J27*2.3</f>
        <v>352.56220568965512</v>
      </c>
    </row>
    <row r="28" spans="2:12" x14ac:dyDescent="0.25">
      <c r="D28">
        <v>50</v>
      </c>
    </row>
    <row r="29" spans="2:12" x14ac:dyDescent="0.25">
      <c r="H29" t="s">
        <v>68</v>
      </c>
      <c r="J29" s="10">
        <f>J27/F6</f>
        <v>153.28791551724137</v>
      </c>
    </row>
    <row r="36" spans="4:4" x14ac:dyDescent="0.25">
      <c r="D36">
        <v>50</v>
      </c>
    </row>
    <row r="38" spans="4:4" x14ac:dyDescent="0.25">
      <c r="D38">
        <v>120</v>
      </c>
    </row>
    <row r="52" spans="3:8" ht="15.75" thickBot="1" x14ac:dyDescent="0.3"/>
    <row r="53" spans="3:8" ht="15.75" thickBot="1" x14ac:dyDescent="0.3">
      <c r="D53" s="26"/>
      <c r="E53" s="22" t="s">
        <v>57</v>
      </c>
      <c r="F53" s="22" t="s">
        <v>59</v>
      </c>
      <c r="G53" s="32" t="s">
        <v>87</v>
      </c>
      <c r="H53" s="76" t="s">
        <v>88</v>
      </c>
    </row>
    <row r="54" spans="3:8" ht="15.75" thickBot="1" x14ac:dyDescent="0.3">
      <c r="C54" s="90" t="s">
        <v>95</v>
      </c>
      <c r="D54" s="91"/>
      <c r="E54" s="80">
        <f>IF(D10=66,base!E11,IF(D10=76,base!E12,IF(D10=80,base!E13,IF(D10=95,base!E14))))</f>
        <v>7.5741379310344827</v>
      </c>
      <c r="F54" s="80">
        <f>+E10*F10/1000</f>
        <v>3.1</v>
      </c>
      <c r="G54" s="81">
        <f>H54/F6</f>
        <v>23.479827586206898</v>
      </c>
      <c r="H54" s="81">
        <f>+E54*F54*F6</f>
        <v>23.479827586206898</v>
      </c>
    </row>
    <row r="55" spans="3:8" ht="15.75" thickBot="1" x14ac:dyDescent="0.3">
      <c r="C55" s="90" t="s">
        <v>96</v>
      </c>
      <c r="D55" s="91"/>
      <c r="E55" s="80">
        <f>IF(D11=205,base!E8,IF(D11=180,base!E7,IF(D11=250,base!E9,IF(D11=300,base!E10))))</f>
        <v>24.501724137931038</v>
      </c>
      <c r="F55" s="80">
        <f>E11/100</f>
        <v>16.46</v>
      </c>
      <c r="G55" s="81">
        <f>H55/F6</f>
        <v>403.2983793103449</v>
      </c>
      <c r="H55" s="81">
        <f>E55*F55*F6</f>
        <v>403.2983793103449</v>
      </c>
    </row>
    <row r="56" spans="3:8" ht="15.75" thickBot="1" x14ac:dyDescent="0.3">
      <c r="C56" s="90" t="s">
        <v>9</v>
      </c>
      <c r="D56" s="91"/>
      <c r="E56" s="80">
        <f>IF(D12=54,base!E15,IF(D12=64,base!E16,IF(D12=80,base!E17)))</f>
        <v>7.5528571428571425</v>
      </c>
      <c r="F56" s="80">
        <f>E12/1000</f>
        <v>1.35</v>
      </c>
      <c r="G56" s="81">
        <f>H56/F6</f>
        <v>10.196357142857144</v>
      </c>
      <c r="H56" s="81">
        <f>E56*F56*F6</f>
        <v>10.196357142857144</v>
      </c>
    </row>
    <row r="57" spans="3:8" ht="15.75" thickBot="1" x14ac:dyDescent="0.3">
      <c r="C57" s="90" t="s">
        <v>10</v>
      </c>
      <c r="D57" s="91"/>
      <c r="E57" s="80">
        <f>IF(D13=45,base!E3,base!E4)</f>
        <v>0</v>
      </c>
      <c r="F57" s="80">
        <f>E13*G13/1000</f>
        <v>56.16</v>
      </c>
      <c r="G57" s="81">
        <f>H57/F6</f>
        <v>56.16</v>
      </c>
      <c r="H57" s="81">
        <f>F57*F6</f>
        <v>56.16</v>
      </c>
    </row>
    <row r="58" spans="3:8" ht="15.75" thickBot="1" x14ac:dyDescent="0.3">
      <c r="C58" s="90" t="s">
        <v>11</v>
      </c>
      <c r="D58" s="91"/>
      <c r="E58" s="80">
        <f>IF(D14=45,base!E5,base!E6)</f>
        <v>0</v>
      </c>
      <c r="F58" s="80">
        <f>E14/1000</f>
        <v>1.56</v>
      </c>
      <c r="G58" s="81">
        <f>H58/F6</f>
        <v>0</v>
      </c>
      <c r="H58" s="81">
        <f>F58*E58*F6</f>
        <v>0</v>
      </c>
    </row>
    <row r="59" spans="3:8" ht="15.75" thickBot="1" x14ac:dyDescent="0.3">
      <c r="C59" s="82" t="s">
        <v>12</v>
      </c>
      <c r="D59" s="74"/>
      <c r="E59" s="80">
        <f>IF(D16=205,base!E19,IF(D16=180,base!E18,IF(D16=250,base!E20,IF(D16=300,base!E21))))</f>
        <v>34.69</v>
      </c>
      <c r="F59" s="80"/>
      <c r="G59" s="81">
        <f>E59</f>
        <v>34.69</v>
      </c>
      <c r="H59" s="81">
        <f>G59*F6</f>
        <v>34.69</v>
      </c>
    </row>
    <row r="60" spans="3:8" ht="15.75" thickBot="1" x14ac:dyDescent="0.3">
      <c r="C60" s="73" t="s">
        <v>13</v>
      </c>
      <c r="D60" s="73"/>
      <c r="E60" s="80">
        <f>IF(D17=205,base!E23,IF(D17=180,base!E22,IF(D17=250,base!E24,IF(D17=300,base!E25))))</f>
        <v>0</v>
      </c>
      <c r="F60" s="80"/>
      <c r="G60" s="81">
        <f>E60</f>
        <v>0</v>
      </c>
      <c r="H60" s="81">
        <f>G60*F6</f>
        <v>0</v>
      </c>
    </row>
    <row r="61" spans="3:8" ht="15.75" thickBot="1" x14ac:dyDescent="0.3">
      <c r="C61" s="90" t="s">
        <v>14</v>
      </c>
      <c r="D61" s="91"/>
      <c r="E61" s="80">
        <f>base!E26</f>
        <v>1</v>
      </c>
      <c r="F61" s="80"/>
      <c r="G61" s="81">
        <f>G18*E61</f>
        <v>1</v>
      </c>
      <c r="H61" s="81">
        <f>G61*F6</f>
        <v>1</v>
      </c>
    </row>
    <row r="62" spans="3:8" ht="15.75" thickBot="1" x14ac:dyDescent="0.3">
      <c r="C62" s="82" t="s">
        <v>15</v>
      </c>
      <c r="D62" s="74"/>
      <c r="E62" s="80">
        <f>base!E27</f>
        <v>2</v>
      </c>
      <c r="F62" s="80"/>
      <c r="G62" s="81">
        <f>G19*E62</f>
        <v>2</v>
      </c>
      <c r="H62" s="81">
        <f>G62*F6</f>
        <v>2</v>
      </c>
    </row>
    <row r="63" spans="3:8" ht="15.75" thickBot="1" x14ac:dyDescent="0.3">
      <c r="C63" s="82" t="s">
        <v>61</v>
      </c>
      <c r="D63" s="74"/>
      <c r="E63" s="80">
        <f>IF(D20=66,base!E28,IF(D20=76,base!E29,IF(D20=80,base!E30,IF(D20=95,base!E31))))</f>
        <v>5.85</v>
      </c>
      <c r="F63" s="80"/>
      <c r="G63" s="81">
        <f>E63</f>
        <v>5.85</v>
      </c>
      <c r="H63" s="81">
        <f>G63*F6</f>
        <v>5.85</v>
      </c>
    </row>
    <row r="64" spans="3:8" ht="15.75" thickBot="1" x14ac:dyDescent="0.3">
      <c r="C64" s="90" t="s">
        <v>17</v>
      </c>
      <c r="D64" s="91"/>
      <c r="E64" s="80">
        <f>base!E32</f>
        <v>3</v>
      </c>
      <c r="F64" s="80"/>
      <c r="G64" s="81">
        <f>G21*E64</f>
        <v>3</v>
      </c>
      <c r="H64" s="81">
        <f>G64*F6</f>
        <v>3</v>
      </c>
    </row>
    <row r="65" spans="3:8" ht="15.75" thickBot="1" x14ac:dyDescent="0.3">
      <c r="C65" s="90" t="s">
        <v>18</v>
      </c>
      <c r="D65" s="91"/>
      <c r="E65" s="80">
        <f>IF(D22=45,base!E33,base!E34)</f>
        <v>3</v>
      </c>
      <c r="F65" s="80"/>
      <c r="G65" s="81">
        <f>E65*G22</f>
        <v>9</v>
      </c>
      <c r="H65" s="81">
        <f>G65*F6</f>
        <v>9</v>
      </c>
    </row>
    <row r="66" spans="3:8" ht="15.75" thickBot="1" x14ac:dyDescent="0.3">
      <c r="C66" s="73" t="s">
        <v>19</v>
      </c>
      <c r="D66" s="73"/>
      <c r="E66" s="80">
        <f>IF(D23=54,base!E35,IF(D23=64,base!E36,IF(D23=80,base!E37)))</f>
        <v>0</v>
      </c>
      <c r="F66" s="80"/>
      <c r="G66" s="81">
        <f>E66</f>
        <v>0</v>
      </c>
      <c r="H66" s="81">
        <f>G66*F6</f>
        <v>0</v>
      </c>
    </row>
    <row r="67" spans="3:8" ht="15.75" thickBot="1" x14ac:dyDescent="0.3">
      <c r="C67" s="82" t="str">
        <f>B24</f>
        <v>PLAQUE  SUPPORT GOUPILLE</v>
      </c>
      <c r="D67" s="74"/>
      <c r="E67" s="80">
        <f>IF(D11=180,base!E38,IF(D11=205,base!E38,IF(D11=250,base!E39,IF(D11=300,base!E39))))</f>
        <v>4.87</v>
      </c>
      <c r="F67" s="80"/>
      <c r="G67" s="81">
        <f>E67</f>
        <v>4.87</v>
      </c>
      <c r="H67" s="81">
        <f>G67*F6</f>
        <v>4.87</v>
      </c>
    </row>
    <row r="68" spans="3:8" ht="15.75" thickBot="1" x14ac:dyDescent="0.3">
      <c r="C68" s="90" t="s">
        <v>20</v>
      </c>
      <c r="D68" s="91"/>
      <c r="E68" s="80">
        <f>base!E40</f>
        <v>11.13</v>
      </c>
      <c r="F68" s="80"/>
      <c r="G68" s="81">
        <f>E68</f>
        <v>11.13</v>
      </c>
      <c r="H68" s="81">
        <f>G68*F6</f>
        <v>11.13</v>
      </c>
    </row>
    <row r="69" spans="3:8" ht="15.75" thickBot="1" x14ac:dyDescent="0.3">
      <c r="C69" s="90" t="s">
        <v>21</v>
      </c>
      <c r="D69" s="91"/>
      <c r="E69" s="80">
        <f>base!E41</f>
        <v>14.67</v>
      </c>
      <c r="F69" s="80"/>
      <c r="G69" s="81">
        <f>E69</f>
        <v>14.67</v>
      </c>
      <c r="H69" s="81">
        <f>G69*F6</f>
        <v>14.67</v>
      </c>
    </row>
    <row r="70" spans="3:8" x14ac:dyDescent="0.25">
      <c r="C70" s="89"/>
      <c r="D70" s="89"/>
      <c r="E70" s="10"/>
      <c r="F70" s="10" t="s">
        <v>97</v>
      </c>
      <c r="G70" s="50">
        <f>SUM(G54:G69)</f>
        <v>579.34456403940885</v>
      </c>
      <c r="H70" s="50">
        <f>SUM(H54:H69)</f>
        <v>579.34456403940885</v>
      </c>
    </row>
  </sheetData>
  <mergeCells count="36">
    <mergeCell ref="C2:E2"/>
    <mergeCell ref="C3:E3"/>
    <mergeCell ref="B13:C13"/>
    <mergeCell ref="B9:D9"/>
    <mergeCell ref="B26:C26"/>
    <mergeCell ref="B14:C14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H27:I27"/>
    <mergeCell ref="B5:C5"/>
    <mergeCell ref="B6:C6"/>
    <mergeCell ref="B10:C10"/>
    <mergeCell ref="B11:C11"/>
    <mergeCell ref="B12:C12"/>
    <mergeCell ref="B7:C8"/>
    <mergeCell ref="D7:D8"/>
    <mergeCell ref="E7:E8"/>
    <mergeCell ref="C54:D54"/>
    <mergeCell ref="C55:D55"/>
    <mergeCell ref="C56:D56"/>
    <mergeCell ref="C57:D57"/>
    <mergeCell ref="C58:D58"/>
    <mergeCell ref="C70:D70"/>
    <mergeCell ref="C61:D61"/>
    <mergeCell ref="C64:D64"/>
    <mergeCell ref="C65:D65"/>
    <mergeCell ref="C68:D68"/>
    <mergeCell ref="C69:D69"/>
  </mergeCells>
  <dataValidations count="1">
    <dataValidation type="whole" allowBlank="1" showInputMessage="1" showErrorMessage="1" sqref="D6" xr:uid="{00000000-0002-0000-0100-000000000000}">
      <formula1>100</formula1>
      <formula2>3500</formula2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rimer">
                <anchor moveWithCells="1">
                  <from>
                    <xdr:col>6</xdr:col>
                    <xdr:colOff>895350</xdr:colOff>
                    <xdr:row>1</xdr:row>
                    <xdr:rowOff>19050</xdr:rowOff>
                  </from>
                  <to>
                    <xdr:col>8</xdr:col>
                    <xdr:colOff>390525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cro8">
                <anchor moveWithCells="1" sizeWithCells="1">
                  <from>
                    <xdr:col>14</xdr:col>
                    <xdr:colOff>9525</xdr:colOff>
                    <xdr:row>17</xdr:row>
                    <xdr:rowOff>38100</xdr:rowOff>
                  </from>
                  <to>
                    <xdr:col>16</xdr:col>
                    <xdr:colOff>733425</xdr:colOff>
                    <xdr:row>19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2:R71"/>
  <sheetViews>
    <sheetView zoomScale="75" zoomScaleNormal="75" workbookViewId="0">
      <selection activeCell="H10" sqref="H10"/>
    </sheetView>
  </sheetViews>
  <sheetFormatPr baseColWidth="10" defaultRowHeight="15" x14ac:dyDescent="0.25"/>
  <cols>
    <col min="1" max="1" width="6.7109375" customWidth="1"/>
    <col min="3" max="3" width="18.85546875" customWidth="1"/>
    <col min="4" max="4" width="15.28515625" customWidth="1"/>
    <col min="5" max="5" width="18" customWidth="1"/>
    <col min="6" max="6" width="15.140625" customWidth="1"/>
    <col min="7" max="7" width="13.5703125" customWidth="1"/>
    <col min="8" max="8" width="13.7109375" customWidth="1"/>
    <col min="9" max="9" width="13.140625" customWidth="1"/>
    <col min="10" max="10" width="12.7109375" customWidth="1"/>
    <col min="12" max="12" width="28" customWidth="1"/>
    <col min="14" max="14" width="18.140625" customWidth="1"/>
    <col min="17" max="17" width="9.85546875" customWidth="1"/>
  </cols>
  <sheetData>
    <row r="2" spans="2:18" ht="21" x14ac:dyDescent="0.25">
      <c r="D2" s="9" t="s">
        <v>46</v>
      </c>
    </row>
    <row r="3" spans="2:18" ht="18.75" x14ac:dyDescent="0.25">
      <c r="C3" s="107" t="s">
        <v>50</v>
      </c>
      <c r="D3" s="107"/>
      <c r="E3" s="107"/>
    </row>
    <row r="4" spans="2:18" ht="15.75" thickBot="1" x14ac:dyDescent="0.3">
      <c r="D4" s="138">
        <v>60</v>
      </c>
    </row>
    <row r="5" spans="2:18" ht="20.25" thickTop="1" thickBot="1" x14ac:dyDescent="0.3">
      <c r="B5" s="93" t="s">
        <v>0</v>
      </c>
      <c r="C5" s="96"/>
      <c r="D5" s="2" t="s">
        <v>1</v>
      </c>
      <c r="E5" s="1" t="s">
        <v>2</v>
      </c>
      <c r="F5" s="1" t="s">
        <v>3</v>
      </c>
      <c r="G5" s="15"/>
    </row>
    <row r="6" spans="2:18" ht="20.25" thickTop="1" thickBot="1" x14ac:dyDescent="0.3">
      <c r="B6" s="120" t="s">
        <v>82</v>
      </c>
      <c r="C6" s="121"/>
      <c r="D6" s="71">
        <v>2500</v>
      </c>
      <c r="E6" s="71">
        <v>3500</v>
      </c>
      <c r="F6" s="3">
        <v>2</v>
      </c>
      <c r="G6" s="17"/>
      <c r="H6" s="44" t="s">
        <v>62</v>
      </c>
    </row>
    <row r="7" spans="2:18" ht="15.75" thickTop="1" x14ac:dyDescent="0.25">
      <c r="B7" s="101" t="s">
        <v>79</v>
      </c>
      <c r="C7" s="102"/>
      <c r="D7" s="105">
        <f>D6+D10*2</f>
        <v>2660</v>
      </c>
      <c r="E7" s="105">
        <f>E6+50+D15+D11</f>
        <v>3880</v>
      </c>
    </row>
    <row r="8" spans="2:18" ht="15.75" thickBot="1" x14ac:dyDescent="0.3">
      <c r="B8" s="103"/>
      <c r="C8" s="104"/>
      <c r="D8" s="106"/>
      <c r="E8" s="106"/>
    </row>
    <row r="9" spans="2:18" ht="30.75" customHeight="1" thickTop="1" thickBot="1" x14ac:dyDescent="0.3">
      <c r="B9" s="117" t="s">
        <v>4</v>
      </c>
      <c r="C9" s="118"/>
      <c r="D9" s="119"/>
      <c r="E9" s="72" t="s">
        <v>5</v>
      </c>
      <c r="F9" s="57" t="s">
        <v>78</v>
      </c>
      <c r="G9" s="85" t="s">
        <v>77</v>
      </c>
      <c r="H9" s="75"/>
      <c r="I9" s="75"/>
      <c r="J9" s="75"/>
    </row>
    <row r="10" spans="2:18" ht="20.25" customHeight="1" thickTop="1" thickBot="1" x14ac:dyDescent="0.3">
      <c r="B10" s="116" t="s">
        <v>7</v>
      </c>
      <c r="C10" s="116"/>
      <c r="D10" s="18">
        <v>80</v>
      </c>
      <c r="E10" s="19">
        <f>E6+50+D15</f>
        <v>3630</v>
      </c>
      <c r="F10" s="58">
        <f>F6*2</f>
        <v>4</v>
      </c>
      <c r="G10" s="54">
        <f>F10/F6</f>
        <v>2</v>
      </c>
      <c r="H10" s="34"/>
      <c r="J10" s="10"/>
    </row>
    <row r="11" spans="2:18" ht="20.25" customHeight="1" thickTop="1" thickBot="1" x14ac:dyDescent="0.3">
      <c r="B11" s="116" t="s">
        <v>8</v>
      </c>
      <c r="C11" s="116"/>
      <c r="D11" s="18">
        <v>250</v>
      </c>
      <c r="E11" s="19">
        <f>IF(D11=250,D6+(D10*2)-6,IF(D11=300,D6+(D10*2)-6,IF(D11=205,D6+(D10*2)-12,IF(D11=180,D6+(D10*2)-12))))</f>
        <v>2654</v>
      </c>
      <c r="F11" s="58">
        <f>F6</f>
        <v>2</v>
      </c>
      <c r="G11" s="54">
        <f>F6</f>
        <v>2</v>
      </c>
      <c r="H11" s="35"/>
      <c r="J11" s="10"/>
    </row>
    <row r="12" spans="2:18" ht="20.25" customHeight="1" thickTop="1" thickBot="1" x14ac:dyDescent="0.3">
      <c r="B12" s="116" t="s">
        <v>9</v>
      </c>
      <c r="C12" s="116"/>
      <c r="D12" s="18">
        <v>80</v>
      </c>
      <c r="E12" s="19">
        <f>IF(D11=300,D6-150,IF(D11=250,D6-150,IF(D11=205,D6-100,IF(D11=180,D6-100))))</f>
        <v>2350</v>
      </c>
      <c r="F12" s="58">
        <f>F6</f>
        <v>2</v>
      </c>
      <c r="G12" s="54">
        <f>F12/F6</f>
        <v>1</v>
      </c>
      <c r="H12" s="34"/>
      <c r="J12" s="10"/>
    </row>
    <row r="13" spans="2:18" ht="20.25" customHeight="1" thickTop="1" thickBot="1" x14ac:dyDescent="0.3">
      <c r="B13" s="116" t="s">
        <v>10</v>
      </c>
      <c r="C13" s="116"/>
      <c r="D13" s="18">
        <v>60</v>
      </c>
      <c r="E13" s="19">
        <f>IF(D10=95,D7-92,IF(D10=76,D7-92,IF(D10=80,D7-72,IF(D10=66,D7-72))))</f>
        <v>2588</v>
      </c>
      <c r="F13" s="59">
        <f>(E6/D13+1)*F6</f>
        <v>118.66666666666667</v>
      </c>
      <c r="G13" s="55">
        <f>ROUNDUP(F13/F6,0)</f>
        <v>60</v>
      </c>
      <c r="H13" s="34"/>
      <c r="J13" s="10"/>
    </row>
    <row r="14" spans="2:18" ht="20.25" customHeight="1" thickTop="1" thickBot="1" x14ac:dyDescent="0.3">
      <c r="B14" s="116" t="s">
        <v>11</v>
      </c>
      <c r="C14" s="116"/>
      <c r="D14" s="18">
        <f>D13</f>
        <v>60</v>
      </c>
      <c r="E14" s="19">
        <f>E13</f>
        <v>2588</v>
      </c>
      <c r="F14" s="58">
        <f>F6</f>
        <v>2</v>
      </c>
      <c r="G14" s="54">
        <f>F14/F6</f>
        <v>1</v>
      </c>
      <c r="H14" s="34"/>
      <c r="J14" s="10"/>
    </row>
    <row r="15" spans="2:18" ht="20.25" customHeight="1" thickTop="1" thickBot="1" x14ac:dyDescent="0.3">
      <c r="B15" s="116" t="s">
        <v>43</v>
      </c>
      <c r="C15" s="116"/>
      <c r="D15" s="18">
        <f>D10</f>
        <v>80</v>
      </c>
      <c r="E15" s="19">
        <f>IF(D11=250,E11+6,E11+10)</f>
        <v>2660</v>
      </c>
      <c r="F15" s="60">
        <f>F6</f>
        <v>2</v>
      </c>
      <c r="G15" s="54">
        <f>F15/F6</f>
        <v>1</v>
      </c>
      <c r="H15" s="34"/>
      <c r="J15" s="10"/>
    </row>
    <row r="16" spans="2:18" ht="20.25" customHeight="1" thickTop="1" thickBot="1" x14ac:dyDescent="0.3">
      <c r="B16" s="116" t="s">
        <v>12</v>
      </c>
      <c r="C16" s="116"/>
      <c r="D16" s="18">
        <f>D11</f>
        <v>250</v>
      </c>
      <c r="E16" s="19"/>
      <c r="F16" s="58">
        <f>F6</f>
        <v>2</v>
      </c>
      <c r="G16" s="54">
        <f>F16/F6</f>
        <v>1</v>
      </c>
      <c r="H16" s="34"/>
      <c r="J16" s="10"/>
      <c r="M16" t="str">
        <f>B6</f>
        <v>JJJ</v>
      </c>
      <c r="N16" t="s">
        <v>70</v>
      </c>
      <c r="O16">
        <f>D6</f>
        <v>2500</v>
      </c>
      <c r="P16">
        <f>E6</f>
        <v>3500</v>
      </c>
      <c r="Q16">
        <f>F6</f>
        <v>2</v>
      </c>
      <c r="R16" s="50">
        <f>J27</f>
        <v>0</v>
      </c>
    </row>
    <row r="17" spans="2:12" ht="20.25" customHeight="1" thickTop="1" thickBot="1" x14ac:dyDescent="0.3">
      <c r="B17" s="116" t="s">
        <v>13</v>
      </c>
      <c r="C17" s="116"/>
      <c r="D17" s="18">
        <f>D11</f>
        <v>250</v>
      </c>
      <c r="E17" s="19"/>
      <c r="F17" s="58">
        <f>F6</f>
        <v>2</v>
      </c>
      <c r="G17" s="54">
        <f>F17/F6</f>
        <v>1</v>
      </c>
      <c r="H17" s="34"/>
      <c r="J17" s="10"/>
    </row>
    <row r="18" spans="2:12" ht="20.25" customHeight="1" thickTop="1" thickBot="1" x14ac:dyDescent="0.3">
      <c r="B18" s="116" t="s">
        <v>14</v>
      </c>
      <c r="C18" s="116"/>
      <c r="D18" s="20" t="str">
        <f>base!B26</f>
        <v>1/11éme</v>
      </c>
      <c r="E18" s="19"/>
      <c r="F18" s="58">
        <f>F6</f>
        <v>2</v>
      </c>
      <c r="G18" s="54">
        <f>F18/F6</f>
        <v>1</v>
      </c>
      <c r="H18" s="34"/>
      <c r="J18" s="10"/>
    </row>
    <row r="19" spans="2:12" ht="20.25" customHeight="1" thickTop="1" thickBot="1" x14ac:dyDescent="0.3">
      <c r="B19" s="116" t="s">
        <v>15</v>
      </c>
      <c r="C19" s="116"/>
      <c r="D19" s="21">
        <f>D12</f>
        <v>80</v>
      </c>
      <c r="E19" s="19"/>
      <c r="F19" s="58">
        <f>F6</f>
        <v>2</v>
      </c>
      <c r="G19" s="54">
        <f>F19/F6</f>
        <v>1</v>
      </c>
      <c r="H19" s="34"/>
      <c r="J19" s="10"/>
    </row>
    <row r="20" spans="2:12" ht="20.25" customHeight="1" thickTop="1" thickBot="1" x14ac:dyDescent="0.3">
      <c r="B20" s="116" t="s">
        <v>16</v>
      </c>
      <c r="C20" s="116"/>
      <c r="D20" s="18">
        <v>80</v>
      </c>
      <c r="E20" s="19"/>
      <c r="F20" s="58">
        <f>F6</f>
        <v>2</v>
      </c>
      <c r="G20" s="54">
        <f>F20/F6</f>
        <v>1</v>
      </c>
      <c r="H20" s="34"/>
      <c r="J20" s="10"/>
    </row>
    <row r="21" spans="2:12" ht="20.25" customHeight="1" thickTop="1" thickBot="1" x14ac:dyDescent="0.3">
      <c r="B21" s="116" t="s">
        <v>17</v>
      </c>
      <c r="C21" s="116"/>
      <c r="D21" s="18"/>
      <c r="E21" s="19"/>
      <c r="F21" s="58">
        <f>F6</f>
        <v>2</v>
      </c>
      <c r="G21" s="54">
        <f>+IF(B27="MOTEUR",0,1)</f>
        <v>1</v>
      </c>
      <c r="H21" s="34"/>
      <c r="J21" s="10"/>
    </row>
    <row r="22" spans="2:12" ht="20.25" customHeight="1" thickTop="1" thickBot="1" x14ac:dyDescent="0.3">
      <c r="B22" s="116" t="s">
        <v>18</v>
      </c>
      <c r="C22" s="116"/>
      <c r="D22" s="18">
        <f>D13</f>
        <v>60</v>
      </c>
      <c r="E22" s="19"/>
      <c r="F22" s="59">
        <f>G22*F6</f>
        <v>10</v>
      </c>
      <c r="G22" s="54">
        <f>ROUNDUP((D6/500),0)</f>
        <v>5</v>
      </c>
      <c r="H22" s="34"/>
      <c r="J22" s="10"/>
    </row>
    <row r="23" spans="2:12" ht="20.25" customHeight="1" thickTop="1" thickBot="1" x14ac:dyDescent="0.3">
      <c r="B23" s="116" t="s">
        <v>19</v>
      </c>
      <c r="C23" s="116"/>
      <c r="D23" s="18">
        <f>D12</f>
        <v>80</v>
      </c>
      <c r="E23" s="19"/>
      <c r="F23" s="58">
        <f>F6</f>
        <v>2</v>
      </c>
      <c r="G23" s="54">
        <f>F23/F6</f>
        <v>1</v>
      </c>
      <c r="H23" s="34"/>
      <c r="J23" s="10"/>
    </row>
    <row r="24" spans="2:12" ht="17.25" customHeight="1" thickTop="1" thickBot="1" x14ac:dyDescent="0.35">
      <c r="B24" s="116" t="str">
        <f>IF(D11=250,"PLAQUE  SUPPORT GOUPILLE",IF(D11=300,"PLAQUE  SUPPORT GOUPILLE",IF(D11=205,"ROULEMENT A BILLES",IF(D11=180,"ROULEMENT A BILLES"))))</f>
        <v>PLAQUE  SUPPORT GOUPILLE</v>
      </c>
      <c r="C24" s="116"/>
      <c r="D24" s="18">
        <f>IF(D11=250,250,IF(D11=300,300,IF(D11=180,"diam 22",IF(D11=205,"diam 22"))))</f>
        <v>250</v>
      </c>
      <c r="E24" s="19"/>
      <c r="F24" s="58">
        <f>F6</f>
        <v>2</v>
      </c>
      <c r="G24" s="54">
        <f>F24/F6</f>
        <v>1</v>
      </c>
      <c r="H24" s="34"/>
      <c r="J24" s="10"/>
      <c r="L24" s="48"/>
    </row>
    <row r="25" spans="2:12" ht="18.75" customHeight="1" thickTop="1" thickBot="1" x14ac:dyDescent="0.3">
      <c r="B25" s="116" t="s">
        <v>20</v>
      </c>
      <c r="C25" s="116"/>
      <c r="D25" s="18">
        <f>1</f>
        <v>1</v>
      </c>
      <c r="E25" s="19"/>
      <c r="F25" s="58">
        <f>F6</f>
        <v>2</v>
      </c>
      <c r="G25" s="54">
        <f>F25/F6</f>
        <v>1</v>
      </c>
      <c r="H25" s="34"/>
      <c r="J25" s="10"/>
      <c r="L25" s="47"/>
    </row>
    <row r="26" spans="2:12" ht="20.25" customHeight="1" thickTop="1" thickBot="1" x14ac:dyDescent="0.35">
      <c r="B26" s="116" t="s">
        <v>48</v>
      </c>
      <c r="C26" s="116"/>
      <c r="D26" s="25" t="s">
        <v>22</v>
      </c>
      <c r="E26" s="19"/>
      <c r="F26" s="61">
        <f>F6</f>
        <v>2</v>
      </c>
      <c r="G26" s="54">
        <f>F26/F6</f>
        <v>1</v>
      </c>
      <c r="H26" s="34"/>
      <c r="J26" s="10"/>
      <c r="L26" s="48"/>
    </row>
    <row r="27" spans="2:12" ht="19.5" thickTop="1" x14ac:dyDescent="0.25">
      <c r="D27" t="s">
        <v>83</v>
      </c>
      <c r="H27" s="92"/>
      <c r="I27" s="92"/>
      <c r="J27" s="10"/>
      <c r="L27" s="47"/>
    </row>
    <row r="29" spans="2:12" x14ac:dyDescent="0.25">
      <c r="J29" s="10"/>
    </row>
    <row r="52" spans="3:8" ht="15.75" thickBot="1" x14ac:dyDescent="0.3"/>
    <row r="53" spans="3:8" ht="15.75" thickBot="1" x14ac:dyDescent="0.3">
      <c r="C53" s="83"/>
      <c r="D53" s="84"/>
      <c r="E53" s="13" t="s">
        <v>57</v>
      </c>
      <c r="F53" s="13" t="s">
        <v>59</v>
      </c>
      <c r="G53" s="13" t="s">
        <v>87</v>
      </c>
      <c r="H53" s="13" t="s">
        <v>88</v>
      </c>
    </row>
    <row r="54" spans="3:8" ht="15.75" thickBot="1" x14ac:dyDescent="0.3">
      <c r="C54" s="113" t="s">
        <v>95</v>
      </c>
      <c r="D54" s="114"/>
      <c r="E54" s="80">
        <f>IF(D10=66,base!E11,IF(D10=76,base!E12,IF(D10=80,base!E13,IF(D10=95,base!E14))))</f>
        <v>7.5775862068965525</v>
      </c>
      <c r="F54" s="80">
        <f>+E10*F10/1000</f>
        <v>14.52</v>
      </c>
      <c r="G54" s="81">
        <f>H54/F6</f>
        <v>110.02655172413795</v>
      </c>
      <c r="H54" s="81">
        <f>+E54*F54*F6</f>
        <v>220.05310344827589</v>
      </c>
    </row>
    <row r="55" spans="3:8" ht="15.75" thickBot="1" x14ac:dyDescent="0.3">
      <c r="C55" s="13" t="s">
        <v>96</v>
      </c>
      <c r="D55" s="22"/>
      <c r="E55" s="80">
        <f>IF(D11=205,base!E8,IF(D11=180,base!E7,IF(D11=250,base!E9,IF(D11=300,base!E10))))</f>
        <v>24.501724137931038</v>
      </c>
      <c r="F55" s="80">
        <f>E11/100</f>
        <v>26.54</v>
      </c>
      <c r="G55" s="81">
        <f>H55/F6</f>
        <v>650.27575862068977</v>
      </c>
      <c r="H55" s="81">
        <f>E55*F55*F6</f>
        <v>1300.5515172413795</v>
      </c>
    </row>
    <row r="56" spans="3:8" ht="15.75" thickBot="1" x14ac:dyDescent="0.3">
      <c r="C56" s="113" t="s">
        <v>9</v>
      </c>
      <c r="D56" s="114"/>
      <c r="E56" s="80">
        <f>IF(D12=54,base!E15,IF(D12=64,base!E16,IF(D12=80,base!E17)))</f>
        <v>7.5528571428571425</v>
      </c>
      <c r="F56" s="80">
        <f>E12/1000</f>
        <v>2.35</v>
      </c>
      <c r="G56" s="81">
        <f>H56/F6</f>
        <v>17.749214285714285</v>
      </c>
      <c r="H56" s="81">
        <f>E56*F56*F6</f>
        <v>35.498428571428569</v>
      </c>
    </row>
    <row r="57" spans="3:8" ht="15.75" thickBot="1" x14ac:dyDescent="0.3">
      <c r="C57" s="113" t="s">
        <v>10</v>
      </c>
      <c r="D57" s="114"/>
      <c r="E57" s="80">
        <f>IF(D13=45,base!E3,base!E4)</f>
        <v>3.1637931034482762</v>
      </c>
      <c r="F57" s="80">
        <f>E13*G13/1000</f>
        <v>155.28</v>
      </c>
      <c r="G57" s="81">
        <f>H57/F6</f>
        <v>155.28</v>
      </c>
      <c r="H57" s="81">
        <f>F57*F6</f>
        <v>310.56</v>
      </c>
    </row>
    <row r="58" spans="3:8" ht="15.75" thickBot="1" x14ac:dyDescent="0.3">
      <c r="C58" s="113" t="s">
        <v>11</v>
      </c>
      <c r="D58" s="114"/>
      <c r="E58" s="80">
        <f>IF(D14=45,base!E5,base!E6)</f>
        <v>3.7033333333333331</v>
      </c>
      <c r="F58" s="80">
        <f>E14/1000</f>
        <v>2.5880000000000001</v>
      </c>
      <c r="G58" s="81">
        <f>H58/F6</f>
        <v>9.584226666666666</v>
      </c>
      <c r="H58" s="81">
        <f>F58*E58*F6</f>
        <v>19.168453333333332</v>
      </c>
    </row>
    <row r="59" spans="3:8" ht="15.75" thickBot="1" x14ac:dyDescent="0.3">
      <c r="C59" s="113" t="s">
        <v>12</v>
      </c>
      <c r="D59" s="114"/>
      <c r="E59" s="80">
        <f>IF(D16=205,base!E19,IF(D16=180,base!E18,IF(D16=250,base!E20,IF(D16=300,base!E21))))</f>
        <v>34.69</v>
      </c>
      <c r="F59" s="80"/>
      <c r="G59" s="81">
        <f>E59</f>
        <v>34.69</v>
      </c>
      <c r="H59" s="81">
        <f>G59*F6</f>
        <v>69.38</v>
      </c>
    </row>
    <row r="60" spans="3:8" ht="15.75" thickBot="1" x14ac:dyDescent="0.3">
      <c r="C60" s="13" t="s">
        <v>13</v>
      </c>
      <c r="D60" s="22"/>
      <c r="E60" s="80">
        <f>IF(D17=205,base!E23,IF(D17=180,base!E22,IF(D17=250,base!E24,IF(D17=300,base!E25))))</f>
        <v>0</v>
      </c>
      <c r="F60" s="80"/>
      <c r="G60" s="81">
        <f>E60</f>
        <v>0</v>
      </c>
      <c r="H60" s="81">
        <f>G60*F6</f>
        <v>0</v>
      </c>
    </row>
    <row r="61" spans="3:8" ht="15.75" thickBot="1" x14ac:dyDescent="0.3">
      <c r="C61" s="113" t="s">
        <v>14</v>
      </c>
      <c r="D61" s="114"/>
      <c r="E61" s="80">
        <f>base!E26</f>
        <v>1</v>
      </c>
      <c r="F61" s="80"/>
      <c r="G61" s="81">
        <f>G18*E61</f>
        <v>1</v>
      </c>
      <c r="H61" s="81">
        <f>G61*F6</f>
        <v>2</v>
      </c>
    </row>
    <row r="62" spans="3:8" ht="15.75" thickBot="1" x14ac:dyDescent="0.3">
      <c r="C62" s="113" t="s">
        <v>15</v>
      </c>
      <c r="D62" s="114"/>
      <c r="E62" s="80">
        <f>base!E27</f>
        <v>2</v>
      </c>
      <c r="F62" s="80"/>
      <c r="G62" s="81">
        <f>G19*E62</f>
        <v>2</v>
      </c>
      <c r="H62" s="81">
        <f>G62*F6</f>
        <v>4</v>
      </c>
    </row>
    <row r="63" spans="3:8" ht="15.75" thickBot="1" x14ac:dyDescent="0.3">
      <c r="C63" s="113" t="s">
        <v>61</v>
      </c>
      <c r="D63" s="114"/>
      <c r="E63" s="80">
        <f>IF(D20=66,base!E28,IF(D20=76,base!E29,IF(D20=80,base!E30,IF(D20=95,base!E31))))</f>
        <v>0</v>
      </c>
      <c r="F63" s="80"/>
      <c r="G63" s="81">
        <f>E63</f>
        <v>0</v>
      </c>
      <c r="H63" s="81">
        <f>G63*F6</f>
        <v>0</v>
      </c>
    </row>
    <row r="64" spans="3:8" ht="15.75" thickBot="1" x14ac:dyDescent="0.3">
      <c r="C64" s="113" t="s">
        <v>17</v>
      </c>
      <c r="D64" s="114"/>
      <c r="E64" s="80">
        <f>base!E32</f>
        <v>3</v>
      </c>
      <c r="F64" s="80"/>
      <c r="G64" s="81">
        <f>G21*E64</f>
        <v>3</v>
      </c>
      <c r="H64" s="81">
        <f>G64*F6</f>
        <v>6</v>
      </c>
    </row>
    <row r="65" spans="3:8" ht="15.75" thickBot="1" x14ac:dyDescent="0.3">
      <c r="C65" s="113" t="s">
        <v>18</v>
      </c>
      <c r="D65" s="114"/>
      <c r="E65" s="80">
        <f>IF(D22=45,base!E33,base!E34)</f>
        <v>0.9</v>
      </c>
      <c r="F65" s="80"/>
      <c r="G65" s="81">
        <f>E65*G22</f>
        <v>4.5</v>
      </c>
      <c r="H65" s="81">
        <f>G65*F6</f>
        <v>9</v>
      </c>
    </row>
    <row r="66" spans="3:8" ht="15.75" thickBot="1" x14ac:dyDescent="0.3">
      <c r="C66" s="13" t="s">
        <v>19</v>
      </c>
      <c r="D66" s="22"/>
      <c r="E66" s="80">
        <f>IF(D23=54,base!E35,IF(D23=64,base!E36,IF(D23=80,base!E37)))</f>
        <v>0</v>
      </c>
      <c r="F66" s="80"/>
      <c r="G66" s="81">
        <f>E66</f>
        <v>0</v>
      </c>
      <c r="H66" s="81">
        <f>G66*F6</f>
        <v>0</v>
      </c>
    </row>
    <row r="67" spans="3:8" ht="15.75" thickBot="1" x14ac:dyDescent="0.3">
      <c r="C67" s="13" t="str">
        <f>B24</f>
        <v>PLAQUE  SUPPORT GOUPILLE</v>
      </c>
      <c r="D67" s="22"/>
      <c r="E67" s="80">
        <f>IF(D11=180,base!E38,IF(D11=205,base!E38,IF(D11=250,base!E39,IF(D11=300,base!E39))))</f>
        <v>4.87</v>
      </c>
      <c r="F67" s="80"/>
      <c r="G67" s="81">
        <f>E67</f>
        <v>4.87</v>
      </c>
      <c r="H67" s="81">
        <f>G67*F6</f>
        <v>9.74</v>
      </c>
    </row>
    <row r="68" spans="3:8" ht="15.75" thickBot="1" x14ac:dyDescent="0.3">
      <c r="C68" s="113" t="s">
        <v>20</v>
      </c>
      <c r="D68" s="114"/>
      <c r="E68" s="80">
        <f>base!E40</f>
        <v>11.13</v>
      </c>
      <c r="F68" s="80"/>
      <c r="G68" s="81">
        <f>E68</f>
        <v>11.13</v>
      </c>
      <c r="H68" s="81">
        <f>G68*F6</f>
        <v>22.26</v>
      </c>
    </row>
    <row r="69" spans="3:8" ht="15.75" thickBot="1" x14ac:dyDescent="0.3">
      <c r="C69" s="113" t="s">
        <v>21</v>
      </c>
      <c r="D69" s="114"/>
      <c r="E69" s="80">
        <f>base!E41</f>
        <v>14.67</v>
      </c>
      <c r="F69" s="80"/>
      <c r="G69" s="81">
        <f>E69</f>
        <v>14.67</v>
      </c>
      <c r="H69" s="81">
        <f>G69*F6</f>
        <v>29.34</v>
      </c>
    </row>
    <row r="70" spans="3:8" ht="15.75" thickBot="1" x14ac:dyDescent="0.3">
      <c r="C70" s="115" t="s">
        <v>43</v>
      </c>
      <c r="D70" s="115"/>
      <c r="E70" s="80">
        <f>base!E46</f>
        <v>54</v>
      </c>
      <c r="F70" s="80">
        <f>E15/1000</f>
        <v>2.66</v>
      </c>
      <c r="G70" s="81">
        <f>F70*E70</f>
        <v>143.64000000000001</v>
      </c>
      <c r="H70" s="81">
        <f>G70*F6</f>
        <v>287.28000000000003</v>
      </c>
    </row>
    <row r="71" spans="3:8" x14ac:dyDescent="0.25">
      <c r="D71" s="26"/>
      <c r="E71" s="10"/>
      <c r="F71" s="10" t="s">
        <v>97</v>
      </c>
      <c r="G71" s="50">
        <f>SUM(G54:G70)</f>
        <v>1162.4157512972085</v>
      </c>
      <c r="H71" s="50">
        <f>SUM(H54:H69)</f>
        <v>2037.5515025944171</v>
      </c>
    </row>
  </sheetData>
  <mergeCells count="38">
    <mergeCell ref="C3:E3"/>
    <mergeCell ref="B9:D9"/>
    <mergeCell ref="B10:C10"/>
    <mergeCell ref="B11:C11"/>
    <mergeCell ref="B5:C5"/>
    <mergeCell ref="B6:C6"/>
    <mergeCell ref="B7:C8"/>
    <mergeCell ref="D7:D8"/>
    <mergeCell ref="E7:E8"/>
    <mergeCell ref="B12:C12"/>
    <mergeCell ref="B13:C13"/>
    <mergeCell ref="B14:C14"/>
    <mergeCell ref="B16:C16"/>
    <mergeCell ref="B17:C17"/>
    <mergeCell ref="H27:I27"/>
    <mergeCell ref="B26:C26"/>
    <mergeCell ref="B25:C25"/>
    <mergeCell ref="B15:C15"/>
    <mergeCell ref="B19:C19"/>
    <mergeCell ref="B20:C20"/>
    <mergeCell ref="B21:C21"/>
    <mergeCell ref="B22:C22"/>
    <mergeCell ref="B23:C23"/>
    <mergeCell ref="B24:C24"/>
    <mergeCell ref="B18:C18"/>
    <mergeCell ref="C54:D54"/>
    <mergeCell ref="C56:D56"/>
    <mergeCell ref="C57:D57"/>
    <mergeCell ref="C58:D58"/>
    <mergeCell ref="C59:D59"/>
    <mergeCell ref="C68:D68"/>
    <mergeCell ref="C69:D69"/>
    <mergeCell ref="C70:D70"/>
    <mergeCell ref="C61:D61"/>
    <mergeCell ref="C62:D62"/>
    <mergeCell ref="C63:D63"/>
    <mergeCell ref="C64:D64"/>
    <mergeCell ref="C65:D65"/>
  </mergeCells>
  <pageMargins left="0.11811023622047245" right="0.11811023622047245" top="0" bottom="0.74803149606299213" header="0.31496062992125984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rimer">
                <anchor moveWithCells="1">
                  <from>
                    <xdr:col>7</xdr:col>
                    <xdr:colOff>19050</xdr:colOff>
                    <xdr:row>1</xdr:row>
                    <xdr:rowOff>19050</xdr:rowOff>
                  </from>
                  <to>
                    <xdr:col>8</xdr:col>
                    <xdr:colOff>609600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macro8">
                <anchor moveWithCells="1" sizeWithCells="1">
                  <from>
                    <xdr:col>14</xdr:col>
                    <xdr:colOff>9525</xdr:colOff>
                    <xdr:row>17</xdr:row>
                    <xdr:rowOff>38100</xdr:rowOff>
                  </from>
                  <to>
                    <xdr:col>16</xdr:col>
                    <xdr:colOff>733425</xdr:colOff>
                    <xdr:row>19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2:R226"/>
  <sheetViews>
    <sheetView showWhiteSpace="0" zoomScale="75" zoomScaleNormal="75" workbookViewId="0">
      <selection activeCell="C70" sqref="C70:D70"/>
    </sheetView>
  </sheetViews>
  <sheetFormatPr baseColWidth="10" defaultColWidth="11.42578125" defaultRowHeight="15" x14ac:dyDescent="0.25"/>
  <cols>
    <col min="1" max="1" width="6.140625" customWidth="1"/>
    <col min="3" max="3" width="18.85546875" customWidth="1"/>
    <col min="4" max="4" width="11.7109375" style="26" customWidth="1"/>
    <col min="5" max="5" width="18" customWidth="1"/>
    <col min="6" max="6" width="15.140625" customWidth="1"/>
    <col min="7" max="7" width="15.42578125" customWidth="1"/>
    <col min="12" max="12" width="28" customWidth="1"/>
    <col min="14" max="14" width="16.42578125" customWidth="1"/>
    <col min="17" max="17" width="8.140625" customWidth="1"/>
  </cols>
  <sheetData>
    <row r="2" spans="2:18" ht="21" x14ac:dyDescent="0.25">
      <c r="D2" s="9" t="s">
        <v>44</v>
      </c>
    </row>
    <row r="3" spans="2:18" ht="18.75" x14ac:dyDescent="0.25">
      <c r="C3" s="107" t="s">
        <v>60</v>
      </c>
      <c r="D3" s="107"/>
      <c r="E3" s="107"/>
    </row>
    <row r="4" spans="2:18" ht="15.75" thickBot="1" x14ac:dyDescent="0.3"/>
    <row r="5" spans="2:18" ht="20.25" thickTop="1" thickBot="1" x14ac:dyDescent="0.3">
      <c r="B5" s="93" t="s">
        <v>0</v>
      </c>
      <c r="C5" s="96"/>
      <c r="D5" s="27" t="s">
        <v>1</v>
      </c>
      <c r="E5" s="1" t="s">
        <v>2</v>
      </c>
      <c r="F5" s="1" t="s">
        <v>3</v>
      </c>
      <c r="G5" s="15"/>
    </row>
    <row r="6" spans="2:18" ht="20.25" thickTop="1" thickBot="1" x14ac:dyDescent="0.3">
      <c r="B6" s="95" t="s">
        <v>86</v>
      </c>
      <c r="C6" s="94"/>
      <c r="D6" s="3">
        <v>3210</v>
      </c>
      <c r="E6" s="3">
        <v>2150</v>
      </c>
      <c r="F6" s="3">
        <v>1</v>
      </c>
      <c r="G6" s="17"/>
      <c r="H6" s="44" t="s">
        <v>62</v>
      </c>
    </row>
    <row r="7" spans="2:18" ht="15.75" thickTop="1" x14ac:dyDescent="0.25">
      <c r="B7" s="101" t="s">
        <v>79</v>
      </c>
      <c r="C7" s="102"/>
      <c r="D7" s="105">
        <f>D6+D10*2</f>
        <v>3400</v>
      </c>
      <c r="E7" s="105">
        <f>E6+50+D11</f>
        <v>2450</v>
      </c>
    </row>
    <row r="8" spans="2:18" ht="15.75" thickBot="1" x14ac:dyDescent="0.3">
      <c r="B8" s="103"/>
      <c r="C8" s="104"/>
      <c r="D8" s="106"/>
      <c r="E8" s="106"/>
    </row>
    <row r="9" spans="2:18" ht="30.75" customHeight="1" thickBot="1" x14ac:dyDescent="0.3">
      <c r="B9" s="125" t="s">
        <v>4</v>
      </c>
      <c r="C9" s="126"/>
      <c r="D9" s="127"/>
      <c r="E9" s="5" t="s">
        <v>5</v>
      </c>
      <c r="F9" s="5" t="s">
        <v>6</v>
      </c>
      <c r="G9" s="53" t="s">
        <v>77</v>
      </c>
      <c r="H9" s="75"/>
      <c r="I9" s="75"/>
      <c r="J9" s="75"/>
    </row>
    <row r="10" spans="2:18" ht="19.5" customHeight="1" thickTop="1" thickBot="1" x14ac:dyDescent="0.3">
      <c r="B10" s="128" t="s">
        <v>7</v>
      </c>
      <c r="C10" s="129"/>
      <c r="D10" s="28">
        <v>95</v>
      </c>
      <c r="E10" s="6">
        <f>E6+50</f>
        <v>2200</v>
      </c>
      <c r="F10" s="63">
        <f>F6*2</f>
        <v>2</v>
      </c>
      <c r="G10" s="54">
        <f>F10/F6</f>
        <v>2</v>
      </c>
      <c r="H10" s="10"/>
      <c r="I10" s="10"/>
      <c r="J10" s="10"/>
    </row>
    <row r="11" spans="2:18" ht="20.25" customHeight="1" thickBot="1" x14ac:dyDescent="0.3">
      <c r="B11" s="124" t="s">
        <v>8</v>
      </c>
      <c r="C11" s="91"/>
      <c r="D11" s="22">
        <v>250</v>
      </c>
      <c r="E11" s="7">
        <f>IF(D11=250,D6+(D10*2)-6,IF(D11=300,D6+(D10*2)-6,IF(D11=205,D6+(D10*2)-12,IF(D11=180,D6+(D10*2)-12))))</f>
        <v>3394</v>
      </c>
      <c r="F11" s="64">
        <f>F6</f>
        <v>1</v>
      </c>
      <c r="G11" s="54">
        <f>F6</f>
        <v>1</v>
      </c>
      <c r="H11" s="10"/>
      <c r="I11" s="10"/>
      <c r="J11" s="10"/>
    </row>
    <row r="12" spans="2:18" ht="20.25" customHeight="1" thickBot="1" x14ac:dyDescent="0.3">
      <c r="B12" s="124" t="s">
        <v>9</v>
      </c>
      <c r="C12" s="91"/>
      <c r="D12" s="22">
        <v>80</v>
      </c>
      <c r="E12" s="7">
        <f>IF(D11=300,D6-150,IF(D11=250,D6-150,IF(D11=205,D6-100,IF(D11=180,D6-100))))</f>
        <v>3060</v>
      </c>
      <c r="F12" s="64">
        <f>F6</f>
        <v>1</v>
      </c>
      <c r="G12" s="54">
        <f>F12/F6</f>
        <v>1</v>
      </c>
      <c r="H12" s="10"/>
      <c r="I12" s="10"/>
      <c r="J12" s="10"/>
      <c r="M12" t="str">
        <f>B6</f>
        <v>MOI</v>
      </c>
      <c r="N12" t="s">
        <v>71</v>
      </c>
      <c r="O12">
        <f>D6</f>
        <v>3210</v>
      </c>
      <c r="P12">
        <f>E6</f>
        <v>2150</v>
      </c>
      <c r="Q12">
        <f>F6</f>
        <v>1</v>
      </c>
      <c r="R12" s="50">
        <f>J28</f>
        <v>0</v>
      </c>
    </row>
    <row r="13" spans="2:18" ht="20.25" customHeight="1" thickBot="1" x14ac:dyDescent="0.3">
      <c r="B13" s="124" t="s">
        <v>10</v>
      </c>
      <c r="C13" s="91"/>
      <c r="D13" s="22">
        <v>60</v>
      </c>
      <c r="E13" s="7">
        <f>IF(D10=95,D7-92,IF(D10=76,D7-92,IF(D10=80,D7-72,IF(D10=66,D7-72))))</f>
        <v>3308</v>
      </c>
      <c r="F13" s="64">
        <f>(E10/D13+1)*F6</f>
        <v>37.666666666666664</v>
      </c>
      <c r="G13" s="55">
        <f>ROUNDUP(F13/F6,0)</f>
        <v>38</v>
      </c>
      <c r="H13" s="10"/>
      <c r="I13" s="10"/>
      <c r="J13" s="10"/>
    </row>
    <row r="14" spans="2:18" ht="20.25" customHeight="1" thickBot="1" x14ac:dyDescent="0.3">
      <c r="B14" s="124" t="s">
        <v>11</v>
      </c>
      <c r="C14" s="91"/>
      <c r="D14" s="22">
        <f>D13</f>
        <v>60</v>
      </c>
      <c r="E14" s="7">
        <f>E13</f>
        <v>3308</v>
      </c>
      <c r="F14" s="64">
        <f>F6</f>
        <v>1</v>
      </c>
      <c r="G14" s="54">
        <f>F14/F6</f>
        <v>1</v>
      </c>
      <c r="H14" s="10"/>
      <c r="I14" s="10"/>
      <c r="J14" s="10"/>
    </row>
    <row r="15" spans="2:18" ht="20.25" hidden="1" customHeight="1" thickBot="1" x14ac:dyDescent="0.3">
      <c r="B15" s="41"/>
      <c r="C15" s="42"/>
      <c r="D15" s="22"/>
      <c r="E15" s="7"/>
      <c r="F15" s="64"/>
      <c r="G15" s="51">
        <f>F15/F6</f>
        <v>0</v>
      </c>
      <c r="H15" s="10"/>
      <c r="I15" s="10"/>
      <c r="J15" s="10"/>
    </row>
    <row r="16" spans="2:18" ht="20.25" customHeight="1" thickBot="1" x14ac:dyDescent="0.3">
      <c r="B16" s="124" t="s">
        <v>12</v>
      </c>
      <c r="C16" s="91"/>
      <c r="D16" s="22">
        <f>D11</f>
        <v>250</v>
      </c>
      <c r="E16" s="7"/>
      <c r="F16" s="64">
        <f>F6</f>
        <v>1</v>
      </c>
      <c r="G16" s="54">
        <f>F16/F6</f>
        <v>1</v>
      </c>
      <c r="H16" s="10"/>
      <c r="I16" s="10"/>
      <c r="J16" s="10"/>
    </row>
    <row r="17" spans="2:12" ht="20.25" customHeight="1" thickBot="1" x14ac:dyDescent="0.3">
      <c r="B17" s="23" t="s">
        <v>13</v>
      </c>
      <c r="C17" s="24"/>
      <c r="D17" s="22">
        <f>D11</f>
        <v>250</v>
      </c>
      <c r="E17" s="7"/>
      <c r="F17" s="64">
        <f>F6</f>
        <v>1</v>
      </c>
      <c r="G17" s="54">
        <f>F17/F6</f>
        <v>1</v>
      </c>
      <c r="H17" s="10"/>
      <c r="I17" s="10"/>
      <c r="J17" s="10"/>
    </row>
    <row r="18" spans="2:12" ht="20.25" hidden="1" customHeight="1" thickBot="1" x14ac:dyDescent="0.3">
      <c r="B18" s="41"/>
      <c r="C18" s="42"/>
      <c r="D18" s="22"/>
      <c r="E18" s="7"/>
      <c r="F18" s="64"/>
      <c r="G18" s="54">
        <f>F18/F6</f>
        <v>0</v>
      </c>
      <c r="H18" s="10"/>
      <c r="I18" s="10"/>
      <c r="J18" s="10"/>
    </row>
    <row r="19" spans="2:12" ht="20.25" hidden="1" customHeight="1" thickBot="1" x14ac:dyDescent="0.3">
      <c r="B19" s="41"/>
      <c r="C19" s="42"/>
      <c r="D19" s="22"/>
      <c r="E19" s="7"/>
      <c r="F19" s="64"/>
      <c r="G19" s="54">
        <f>F19/F6</f>
        <v>0</v>
      </c>
      <c r="H19" s="10"/>
      <c r="I19" s="10"/>
      <c r="J19" s="10"/>
    </row>
    <row r="20" spans="2:12" ht="20.25" customHeight="1" thickBot="1" x14ac:dyDescent="0.3">
      <c r="B20" s="124" t="s">
        <v>16</v>
      </c>
      <c r="C20" s="91"/>
      <c r="D20" s="38">
        <f>D10</f>
        <v>95</v>
      </c>
      <c r="E20" s="7"/>
      <c r="F20" s="64">
        <f>F6</f>
        <v>1</v>
      </c>
      <c r="G20" s="54">
        <f>F20/F6</f>
        <v>1</v>
      </c>
      <c r="H20" s="10"/>
      <c r="I20" s="10"/>
      <c r="J20" s="10"/>
    </row>
    <row r="21" spans="2:12" ht="20.25" customHeight="1" thickBot="1" x14ac:dyDescent="0.3">
      <c r="B21" s="23" t="s">
        <v>17</v>
      </c>
      <c r="C21" s="24"/>
      <c r="D21" s="22">
        <f>D10</f>
        <v>95</v>
      </c>
      <c r="E21" s="7"/>
      <c r="F21" s="64">
        <f>F6</f>
        <v>1</v>
      </c>
      <c r="G21" s="54">
        <f>+IF(B27="MOTEUR",0,1)</f>
        <v>0</v>
      </c>
      <c r="H21" s="10"/>
      <c r="I21" s="10"/>
      <c r="J21" s="10"/>
    </row>
    <row r="22" spans="2:12" ht="20.25" customHeight="1" thickBot="1" x14ac:dyDescent="0.3">
      <c r="B22" s="23" t="s">
        <v>18</v>
      </c>
      <c r="C22" s="24"/>
      <c r="D22" s="22">
        <f>D13</f>
        <v>60</v>
      </c>
      <c r="E22" s="7"/>
      <c r="F22" s="64">
        <f>G22*F6</f>
        <v>7</v>
      </c>
      <c r="G22" s="55">
        <f>ROUNDUP((D6/500),0)</f>
        <v>7</v>
      </c>
      <c r="H22" s="10"/>
      <c r="I22" s="10"/>
      <c r="J22" s="10"/>
    </row>
    <row r="23" spans="2:12" ht="20.25" customHeight="1" thickBot="1" x14ac:dyDescent="0.3">
      <c r="B23" s="23" t="s">
        <v>19</v>
      </c>
      <c r="C23" s="24"/>
      <c r="D23" s="22">
        <f>D12</f>
        <v>80</v>
      </c>
      <c r="E23" s="7"/>
      <c r="F23" s="64">
        <f>F6</f>
        <v>1</v>
      </c>
      <c r="G23" s="54">
        <f>F23/F6</f>
        <v>1</v>
      </c>
      <c r="H23" s="10"/>
      <c r="I23" s="10"/>
      <c r="J23" s="10"/>
    </row>
    <row r="24" spans="2:12" ht="20.25" customHeight="1" thickBot="1" x14ac:dyDescent="0.35">
      <c r="B24" s="124" t="str">
        <f>IF(D11=250,"PLAQUE  SUPPORT GOUPILLE",IF(D11=300,"PLAQUE  SUPPORT GOUPILLE",IF(D11=205,"ROULEMENT A BILLES",IF(D11=180,"ROULEMENT A BILLES"))))</f>
        <v>PLAQUE  SUPPORT GOUPILLE</v>
      </c>
      <c r="C24" s="91"/>
      <c r="D24" s="22">
        <f>IF(D11=250,250,IF(D11=300,300,IF(D11=180,"diam 22",IF(D11=205,"diam 22"))))</f>
        <v>250</v>
      </c>
      <c r="E24" s="7"/>
      <c r="F24" s="64">
        <f>F6</f>
        <v>1</v>
      </c>
      <c r="G24" s="54">
        <f>F24/F6</f>
        <v>1</v>
      </c>
      <c r="H24" s="10"/>
      <c r="I24" s="10"/>
      <c r="J24" s="10"/>
      <c r="L24" s="46"/>
    </row>
    <row r="25" spans="2:12" ht="19.5" customHeight="1" thickBot="1" x14ac:dyDescent="0.3">
      <c r="B25" s="124" t="s">
        <v>20</v>
      </c>
      <c r="C25" s="91"/>
      <c r="D25" s="22">
        <f>1</f>
        <v>1</v>
      </c>
      <c r="E25" s="7"/>
      <c r="F25" s="64">
        <f>F6</f>
        <v>1</v>
      </c>
      <c r="G25" s="54">
        <f>F25/F6</f>
        <v>1</v>
      </c>
      <c r="H25" s="10"/>
      <c r="I25" s="10"/>
      <c r="J25" s="10"/>
      <c r="L25" s="47"/>
    </row>
    <row r="26" spans="2:12" ht="20.25" customHeight="1" thickBot="1" x14ac:dyDescent="0.35">
      <c r="B26" s="23" t="s">
        <v>21</v>
      </c>
      <c r="C26" s="24"/>
      <c r="D26" s="22" t="s">
        <v>22</v>
      </c>
      <c r="E26" s="13"/>
      <c r="F26" s="64">
        <f>F6</f>
        <v>1</v>
      </c>
      <c r="G26" s="54">
        <f>F26/F6</f>
        <v>1</v>
      </c>
      <c r="H26" s="10"/>
      <c r="I26" s="10"/>
      <c r="J26" s="10"/>
      <c r="L26" s="46"/>
    </row>
    <row r="27" spans="2:12" ht="20.25" customHeight="1" thickBot="1" x14ac:dyDescent="0.35">
      <c r="B27" s="122" t="s">
        <v>47</v>
      </c>
      <c r="C27" s="123"/>
      <c r="D27" s="14">
        <v>120</v>
      </c>
      <c r="E27" s="8"/>
      <c r="F27" s="68">
        <f>F6</f>
        <v>1</v>
      </c>
      <c r="G27" s="56">
        <f>F27/F6</f>
        <v>1</v>
      </c>
      <c r="H27" s="10"/>
      <c r="I27" s="10"/>
      <c r="J27" s="10"/>
      <c r="L27" s="49"/>
    </row>
    <row r="28" spans="2:12" ht="15.75" thickTop="1" x14ac:dyDescent="0.25">
      <c r="H28" s="92"/>
      <c r="I28" s="92"/>
      <c r="J28" s="10"/>
    </row>
    <row r="29" spans="2:12" x14ac:dyDescent="0.25">
      <c r="D29" s="26">
        <v>50</v>
      </c>
      <c r="L29" s="43"/>
    </row>
    <row r="30" spans="2:12" x14ac:dyDescent="0.25">
      <c r="J30" s="10"/>
    </row>
    <row r="52" spans="3:8" ht="15.75" thickBot="1" x14ac:dyDescent="0.3"/>
    <row r="53" spans="3:8" ht="15.75" thickBot="1" x14ac:dyDescent="0.3">
      <c r="E53" s="22" t="s">
        <v>57</v>
      </c>
      <c r="F53" s="22" t="s">
        <v>59</v>
      </c>
      <c r="G53" s="32" t="s">
        <v>87</v>
      </c>
      <c r="H53" s="76" t="s">
        <v>88</v>
      </c>
    </row>
    <row r="54" spans="3:8" ht="15.75" thickBot="1" x14ac:dyDescent="0.3">
      <c r="C54" s="90" t="s">
        <v>95</v>
      </c>
      <c r="D54" s="91"/>
      <c r="E54" s="80">
        <f>IF(D10=66,base!E11,IF(D10=76,base!E12,IF(D10=80,base!E13,IF(D10=95,base!E14))))</f>
        <v>9.3800000000000008</v>
      </c>
      <c r="F54" s="80">
        <f>+E10*F10/1000</f>
        <v>4.4000000000000004</v>
      </c>
      <c r="G54" s="81">
        <f>H54/F6</f>
        <v>41.272000000000006</v>
      </c>
      <c r="H54" s="81">
        <f>+E54*F54*F6</f>
        <v>41.272000000000006</v>
      </c>
    </row>
    <row r="55" spans="3:8" ht="15.75" thickBot="1" x14ac:dyDescent="0.3">
      <c r="C55" s="90" t="s">
        <v>96</v>
      </c>
      <c r="D55" s="91"/>
      <c r="E55" s="80">
        <f>IF(D11=205,base!E8,IF(D11=180,base!E7,IF(D11=250,base!E9,IF(D11=300,base!E10))))</f>
        <v>24.501724137931038</v>
      </c>
      <c r="F55" s="80">
        <f>E11/100</f>
        <v>33.94</v>
      </c>
      <c r="G55" s="81">
        <f>H55/F6</f>
        <v>831.58851724137935</v>
      </c>
      <c r="H55" s="81">
        <f>E55*F55*F6</f>
        <v>831.58851724137935</v>
      </c>
    </row>
    <row r="56" spans="3:8" ht="15.75" thickBot="1" x14ac:dyDescent="0.3">
      <c r="C56" s="90" t="s">
        <v>9</v>
      </c>
      <c r="D56" s="91"/>
      <c r="E56" s="80">
        <f>IF(D12=54,base!E15,IF(D12=64,base!E16,IF(D12=80,base!E17)))</f>
        <v>7.5528571428571425</v>
      </c>
      <c r="F56" s="80">
        <f>E12/1000</f>
        <v>3.06</v>
      </c>
      <c r="G56" s="81">
        <f>H56/F6</f>
        <v>23.111742857142858</v>
      </c>
      <c r="H56" s="81">
        <f>E56*F56*F6</f>
        <v>23.111742857142858</v>
      </c>
    </row>
    <row r="57" spans="3:8" ht="15.75" thickBot="1" x14ac:dyDescent="0.3">
      <c r="C57" s="90" t="s">
        <v>10</v>
      </c>
      <c r="D57" s="91"/>
      <c r="E57" s="80">
        <f>IF(D13=45,base!E3,base!E4)</f>
        <v>3.1637931034482762</v>
      </c>
      <c r="F57" s="80">
        <f>E13*G13/1000</f>
        <v>125.70399999999999</v>
      </c>
      <c r="G57" s="81">
        <f>H57/F6</f>
        <v>125.70399999999999</v>
      </c>
      <c r="H57" s="81">
        <f>F57*F6</f>
        <v>125.70399999999999</v>
      </c>
    </row>
    <row r="58" spans="3:8" ht="15.75" thickBot="1" x14ac:dyDescent="0.3">
      <c r="C58" s="90" t="s">
        <v>11</v>
      </c>
      <c r="D58" s="91"/>
      <c r="E58" s="80">
        <f>IF(D14=45,base!E5,base!E6)</f>
        <v>3.7033333333333331</v>
      </c>
      <c r="F58" s="80">
        <f>E14/1000</f>
        <v>3.3079999999999998</v>
      </c>
      <c r="G58" s="81">
        <f>H58/F6</f>
        <v>12.250626666666665</v>
      </c>
      <c r="H58" s="81">
        <f>F58*E58*F6</f>
        <v>12.250626666666665</v>
      </c>
    </row>
    <row r="59" spans="3:8" ht="15.75" thickBot="1" x14ac:dyDescent="0.3">
      <c r="C59" s="82" t="s">
        <v>12</v>
      </c>
      <c r="D59" s="74"/>
      <c r="E59" s="80">
        <f>IF(D16=205,base!E19,IF(D16=180,base!E18,IF(D16=250,base!E20,IF(D16=300,base!E21))))</f>
        <v>34.69</v>
      </c>
      <c r="F59" s="80"/>
      <c r="G59" s="81">
        <f>E59</f>
        <v>34.69</v>
      </c>
      <c r="H59" s="81">
        <f>G59*F6</f>
        <v>34.69</v>
      </c>
    </row>
    <row r="60" spans="3:8" ht="15.75" thickBot="1" x14ac:dyDescent="0.3">
      <c r="C60" s="73" t="s">
        <v>13</v>
      </c>
      <c r="D60" s="73"/>
      <c r="E60" s="80">
        <f>IF(D17=205,base!E23,IF(D17=180,base!E22,IF(D17=250,base!E24,IF(D17=300,base!E25))))</f>
        <v>0</v>
      </c>
      <c r="F60" s="80"/>
      <c r="G60" s="81">
        <f>E60</f>
        <v>0</v>
      </c>
      <c r="H60" s="81">
        <f>G60*F6</f>
        <v>0</v>
      </c>
    </row>
    <row r="61" spans="3:8" ht="15.75" thickBot="1" x14ac:dyDescent="0.3">
      <c r="C61" s="90" t="s">
        <v>14</v>
      </c>
      <c r="D61" s="91"/>
      <c r="E61" s="80"/>
      <c r="F61" s="80"/>
      <c r="G61" s="81"/>
      <c r="H61" s="81"/>
    </row>
    <row r="62" spans="3:8" ht="15.75" thickBot="1" x14ac:dyDescent="0.3">
      <c r="C62" s="82" t="s">
        <v>15</v>
      </c>
      <c r="D62" s="74"/>
      <c r="E62" s="80"/>
      <c r="F62" s="80"/>
      <c r="G62" s="81"/>
      <c r="H62" s="81"/>
    </row>
    <row r="63" spans="3:8" ht="15.75" thickBot="1" x14ac:dyDescent="0.3">
      <c r="C63" s="82" t="s">
        <v>61</v>
      </c>
      <c r="D63" s="74"/>
      <c r="E63" s="80">
        <f>IF(D20=66,base!E28,IF(D20=76,base!E29,IF(D20=80,base!E30,IF(D20=95,base!E31))))</f>
        <v>5.85</v>
      </c>
      <c r="F63" s="80"/>
      <c r="G63" s="81">
        <f>E63</f>
        <v>5.85</v>
      </c>
      <c r="H63" s="81">
        <f>G63*F6</f>
        <v>5.85</v>
      </c>
    </row>
    <row r="64" spans="3:8" ht="15.75" thickBot="1" x14ac:dyDescent="0.3">
      <c r="C64" s="90" t="s">
        <v>17</v>
      </c>
      <c r="D64" s="91"/>
      <c r="E64" s="80">
        <f>base!E32</f>
        <v>3</v>
      </c>
      <c r="F64" s="80"/>
      <c r="G64" s="81">
        <f>G21*E64</f>
        <v>0</v>
      </c>
      <c r="H64" s="81">
        <f>G64*F6</f>
        <v>0</v>
      </c>
    </row>
    <row r="65" spans="3:8" ht="15.75" thickBot="1" x14ac:dyDescent="0.3">
      <c r="C65" s="90" t="s">
        <v>18</v>
      </c>
      <c r="D65" s="91"/>
      <c r="E65" s="80">
        <f>IF(D22=45,base!E33,base!E34)</f>
        <v>0.9</v>
      </c>
      <c r="F65" s="80"/>
      <c r="G65" s="81">
        <f>E65*G22</f>
        <v>6.3</v>
      </c>
      <c r="H65" s="81">
        <f>G65*F6</f>
        <v>6.3</v>
      </c>
    </row>
    <row r="66" spans="3:8" ht="15.75" thickBot="1" x14ac:dyDescent="0.3">
      <c r="C66" s="73" t="s">
        <v>19</v>
      </c>
      <c r="D66" s="73"/>
      <c r="E66" s="80">
        <f>IF(D23=54,base!E35,IF(D23=64,base!E36,IF(D23=80,base!E37)))</f>
        <v>0</v>
      </c>
      <c r="F66" s="80"/>
      <c r="G66" s="81">
        <f>E66</f>
        <v>0</v>
      </c>
      <c r="H66" s="81">
        <f>G66*F6</f>
        <v>0</v>
      </c>
    </row>
    <row r="67" spans="3:8" ht="15.75" thickBot="1" x14ac:dyDescent="0.3">
      <c r="C67" s="82" t="str">
        <f>B24</f>
        <v>PLAQUE  SUPPORT GOUPILLE</v>
      </c>
      <c r="D67" s="74"/>
      <c r="E67" s="80">
        <f>IF(D11=180,base!E38,IF(D11=205,base!E38,IF(D11=250,base!E39,IF(D11=300,base!E39))))</f>
        <v>4.87</v>
      </c>
      <c r="F67" s="80"/>
      <c r="G67" s="81">
        <f>E67</f>
        <v>4.87</v>
      </c>
      <c r="H67" s="81">
        <f>G67*F6</f>
        <v>4.87</v>
      </c>
    </row>
    <row r="68" spans="3:8" ht="15.75" thickBot="1" x14ac:dyDescent="0.3">
      <c r="C68" s="90" t="s">
        <v>20</v>
      </c>
      <c r="D68" s="91"/>
      <c r="E68" s="80">
        <f>base!E40</f>
        <v>11.13</v>
      </c>
      <c r="F68" s="80"/>
      <c r="G68" s="81">
        <f>E68</f>
        <v>11.13</v>
      </c>
      <c r="H68" s="81">
        <f>G68*F6</f>
        <v>11.13</v>
      </c>
    </row>
    <row r="69" spans="3:8" ht="15.75" thickBot="1" x14ac:dyDescent="0.3">
      <c r="C69" s="90" t="s">
        <v>21</v>
      </c>
      <c r="D69" s="91"/>
      <c r="E69" s="80">
        <f>base!E41</f>
        <v>14.67</v>
      </c>
      <c r="F69" s="80"/>
      <c r="G69" s="81">
        <f>E69</f>
        <v>14.67</v>
      </c>
      <c r="H69" s="81">
        <f>G69*F6</f>
        <v>14.67</v>
      </c>
    </row>
    <row r="70" spans="3:8" ht="15.75" thickBot="1" x14ac:dyDescent="0.3">
      <c r="C70" s="90" t="s">
        <v>100</v>
      </c>
      <c r="D70" s="91"/>
      <c r="E70" s="80">
        <f>IF(D27=30,base!E42,IF(D27=50,base!E43,IF(D27=80,base!E44,IF(D27=120,base!E45))))</f>
        <v>204.67</v>
      </c>
      <c r="F70" s="80"/>
      <c r="G70" s="81">
        <f>E70</f>
        <v>204.67</v>
      </c>
      <c r="H70" s="81">
        <f>G70*F6</f>
        <v>204.67</v>
      </c>
    </row>
    <row r="71" spans="3:8" x14ac:dyDescent="0.25">
      <c r="C71" s="89"/>
      <c r="D71" s="89"/>
      <c r="E71" s="10"/>
      <c r="F71" s="10" t="s">
        <v>97</v>
      </c>
      <c r="G71" s="50">
        <f>SUM(G54:G70)</f>
        <v>1316.1068867651888</v>
      </c>
      <c r="H71" s="50">
        <f>SUM(H54:H70)</f>
        <v>1316.1068867651888</v>
      </c>
    </row>
    <row r="226" spans="4:4" x14ac:dyDescent="0.25">
      <c r="D226" s="26" t="s">
        <v>22</v>
      </c>
    </row>
  </sheetData>
  <mergeCells count="30">
    <mergeCell ref="C3:E3"/>
    <mergeCell ref="B5:C5"/>
    <mergeCell ref="B6:C6"/>
    <mergeCell ref="B27:C27"/>
    <mergeCell ref="B25:C25"/>
    <mergeCell ref="B9:D9"/>
    <mergeCell ref="B10:C10"/>
    <mergeCell ref="B11:C11"/>
    <mergeCell ref="B12:C12"/>
    <mergeCell ref="B13:C13"/>
    <mergeCell ref="B14:C14"/>
    <mergeCell ref="B16:C16"/>
    <mergeCell ref="B24:C24"/>
    <mergeCell ref="B20:C20"/>
    <mergeCell ref="B7:C8"/>
    <mergeCell ref="D7:D8"/>
    <mergeCell ref="E7:E8"/>
    <mergeCell ref="H28:I28"/>
    <mergeCell ref="C54:D54"/>
    <mergeCell ref="C55:D55"/>
    <mergeCell ref="C56:D56"/>
    <mergeCell ref="C68:D68"/>
    <mergeCell ref="C69:D69"/>
    <mergeCell ref="C70:D70"/>
    <mergeCell ref="C71:D71"/>
    <mergeCell ref="C57:D57"/>
    <mergeCell ref="C58:D58"/>
    <mergeCell ref="C61:D61"/>
    <mergeCell ref="C64:D64"/>
    <mergeCell ref="C65:D65"/>
  </mergeCells>
  <pageMargins left="0.11811023622047245" right="0.11811023622047245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rimer">
                <anchor moveWithCells="1">
                  <from>
                    <xdr:col>7</xdr:col>
                    <xdr:colOff>38100</xdr:colOff>
                    <xdr:row>1</xdr:row>
                    <xdr:rowOff>0</xdr:rowOff>
                  </from>
                  <to>
                    <xdr:col>8</xdr:col>
                    <xdr:colOff>723900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macro8">
                <anchor moveWithCells="1" sizeWithCells="1">
                  <from>
                    <xdr:col>14</xdr:col>
                    <xdr:colOff>9525</xdr:colOff>
                    <xdr:row>13</xdr:row>
                    <xdr:rowOff>38100</xdr:rowOff>
                  </from>
                  <to>
                    <xdr:col>16</xdr:col>
                    <xdr:colOff>733425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2:R71"/>
  <sheetViews>
    <sheetView zoomScale="75" zoomScaleNormal="75" workbookViewId="0">
      <selection activeCell="D4" sqref="D4"/>
    </sheetView>
  </sheetViews>
  <sheetFormatPr baseColWidth="10" defaultRowHeight="15" x14ac:dyDescent="0.25"/>
  <cols>
    <col min="1" max="1" width="6.7109375" customWidth="1"/>
    <col min="3" max="3" width="18.85546875" customWidth="1"/>
    <col min="4" max="4" width="12.5703125" style="26" customWidth="1"/>
    <col min="5" max="5" width="18" customWidth="1"/>
    <col min="6" max="6" width="15.140625" customWidth="1"/>
    <col min="7" max="7" width="15.42578125" customWidth="1"/>
    <col min="12" max="12" width="29.7109375" customWidth="1"/>
    <col min="14" max="14" width="17.140625" customWidth="1"/>
    <col min="17" max="17" width="7.5703125" customWidth="1"/>
  </cols>
  <sheetData>
    <row r="2" spans="2:18" ht="21" x14ac:dyDescent="0.25">
      <c r="D2" s="9" t="s">
        <v>45</v>
      </c>
    </row>
    <row r="3" spans="2:18" ht="18.75" x14ac:dyDescent="0.25">
      <c r="C3" s="107" t="s">
        <v>50</v>
      </c>
      <c r="D3" s="107"/>
      <c r="E3" s="107"/>
    </row>
    <row r="4" spans="2:18" ht="15.75" thickBot="1" x14ac:dyDescent="0.3">
      <c r="D4" s="139">
        <v>60</v>
      </c>
    </row>
    <row r="5" spans="2:18" ht="20.25" thickTop="1" thickBot="1" x14ac:dyDescent="0.3">
      <c r="B5" s="93" t="s">
        <v>0</v>
      </c>
      <c r="C5" s="96"/>
      <c r="D5" s="27" t="s">
        <v>1</v>
      </c>
      <c r="E5" s="1" t="s">
        <v>2</v>
      </c>
      <c r="F5" s="1" t="s">
        <v>3</v>
      </c>
      <c r="G5" s="15"/>
    </row>
    <row r="6" spans="2:18" ht="20.25" thickTop="1" thickBot="1" x14ac:dyDescent="0.3">
      <c r="B6" s="95" t="s">
        <v>80</v>
      </c>
      <c r="C6" s="94"/>
      <c r="D6" s="3">
        <v>2000</v>
      </c>
      <c r="E6" s="3">
        <v>2000</v>
      </c>
      <c r="F6" s="3">
        <v>1</v>
      </c>
      <c r="G6" s="17"/>
      <c r="H6" s="44" t="s">
        <v>62</v>
      </c>
    </row>
    <row r="7" spans="2:18" ht="15.75" thickTop="1" x14ac:dyDescent="0.25">
      <c r="B7" s="101" t="s">
        <v>79</v>
      </c>
      <c r="C7" s="102"/>
      <c r="D7" s="105">
        <f>D6+D10*2</f>
        <v>2132</v>
      </c>
      <c r="E7" s="105">
        <f>E6+50+D15+D11</f>
        <v>2366</v>
      </c>
    </row>
    <row r="8" spans="2:18" ht="15.75" thickBot="1" x14ac:dyDescent="0.3">
      <c r="B8" s="103"/>
      <c r="C8" s="104"/>
      <c r="D8" s="106"/>
      <c r="E8" s="106"/>
    </row>
    <row r="9" spans="2:18" ht="30.75" customHeight="1" thickBot="1" x14ac:dyDescent="0.3">
      <c r="B9" s="125" t="s">
        <v>4</v>
      </c>
      <c r="C9" s="126"/>
      <c r="D9" s="127"/>
      <c r="E9" s="5" t="s">
        <v>5</v>
      </c>
      <c r="F9" s="5" t="s">
        <v>6</v>
      </c>
      <c r="G9" s="53" t="s">
        <v>77</v>
      </c>
      <c r="H9" s="22" t="s">
        <v>57</v>
      </c>
      <c r="I9" s="22" t="s">
        <v>59</v>
      </c>
      <c r="J9" s="32" t="s">
        <v>58</v>
      </c>
    </row>
    <row r="10" spans="2:18" ht="19.5" customHeight="1" thickTop="1" thickBot="1" x14ac:dyDescent="0.3">
      <c r="B10" s="128" t="s">
        <v>7</v>
      </c>
      <c r="C10" s="129"/>
      <c r="D10" s="28">
        <v>66</v>
      </c>
      <c r="E10" s="6">
        <f>E6+50+D15</f>
        <v>2116</v>
      </c>
      <c r="F10" s="63">
        <f>F6*2</f>
        <v>2</v>
      </c>
      <c r="G10" s="54">
        <f>F10/F6</f>
        <v>2</v>
      </c>
      <c r="H10" s="36">
        <f>IF(D10=66,base!E11,IF(D10=76,base!E12,IF(D10=80,base!E13,IF(D10=95,base!E14))))</f>
        <v>0</v>
      </c>
      <c r="I10" s="10">
        <f>E10/1000</f>
        <v>2.1160000000000001</v>
      </c>
      <c r="J10" s="10">
        <f>I10*H10*F10</f>
        <v>0</v>
      </c>
    </row>
    <row r="11" spans="2:18" ht="20.25" customHeight="1" thickBot="1" x14ac:dyDescent="0.3">
      <c r="B11" s="124" t="s">
        <v>8</v>
      </c>
      <c r="C11" s="91"/>
      <c r="D11" s="22">
        <v>250</v>
      </c>
      <c r="E11" s="7">
        <f>IF(D11=250,D6+(D10*2)-6,IF(D11=300,D6+(D10*2)-6,IF(D11=205,D6+(D10*2)-12,IF(D11=180,D6+(D10*2)-12))))</f>
        <v>2126</v>
      </c>
      <c r="F11" s="64">
        <f>F6</f>
        <v>1</v>
      </c>
      <c r="G11" s="54">
        <f>F6</f>
        <v>1</v>
      </c>
      <c r="H11" s="36">
        <f>IF(D11=205,base!E8,IF(D11=180,base!E7,IF(D11=250,base!E9,IF(D11=300,base!E10))))</f>
        <v>24.501724137931038</v>
      </c>
      <c r="I11" s="10">
        <f t="shared" ref="I11:I14" si="0">E11/1000</f>
        <v>2.1259999999999999</v>
      </c>
      <c r="J11" s="10">
        <f t="shared" ref="J11:J14" si="1">I11*H11*F11</f>
        <v>52.090665517241383</v>
      </c>
    </row>
    <row r="12" spans="2:18" ht="20.25" customHeight="1" thickBot="1" x14ac:dyDescent="0.3">
      <c r="B12" s="124" t="s">
        <v>9</v>
      </c>
      <c r="C12" s="91"/>
      <c r="D12" s="22">
        <v>64</v>
      </c>
      <c r="E12" s="7">
        <f>IF(D11=300,D6-150,IF(D11=250,D6-150,IF(D11=205,D6-100,IF(D11=180,D6-100))))</f>
        <v>1850</v>
      </c>
      <c r="F12" s="64">
        <f>F6</f>
        <v>1</v>
      </c>
      <c r="G12" s="54">
        <f>F12/F6</f>
        <v>1</v>
      </c>
      <c r="H12" s="36">
        <f>IF(D12=60,base!E15,base!E16)</f>
        <v>6.0283333333333333</v>
      </c>
      <c r="I12" s="10">
        <f t="shared" si="0"/>
        <v>1.85</v>
      </c>
      <c r="J12" s="10">
        <f t="shared" si="1"/>
        <v>11.152416666666667</v>
      </c>
    </row>
    <row r="13" spans="2:18" ht="20.25" customHeight="1" thickBot="1" x14ac:dyDescent="0.3">
      <c r="B13" s="124" t="s">
        <v>10</v>
      </c>
      <c r="C13" s="91"/>
      <c r="D13" s="22">
        <v>45</v>
      </c>
      <c r="E13" s="7">
        <f>IF(D10=95,D7-92,IF(D10=76,D7-92,IF(D10=80,D7-72,IF(D10=66,D7-72))))</f>
        <v>2060</v>
      </c>
      <c r="F13" s="64">
        <f>(E6/D13+1)*F6</f>
        <v>45.444444444444443</v>
      </c>
      <c r="G13" s="55">
        <f>ROUNDUP(F13/F6,0)</f>
        <v>46</v>
      </c>
      <c r="H13" s="36">
        <f>IF(D13=45,base!E3,base!E4)</f>
        <v>0</v>
      </c>
      <c r="I13" s="10">
        <f t="shared" si="0"/>
        <v>2.06</v>
      </c>
      <c r="J13" s="10">
        <f t="shared" si="1"/>
        <v>0</v>
      </c>
    </row>
    <row r="14" spans="2:18" ht="20.25" customHeight="1" thickBot="1" x14ac:dyDescent="0.3">
      <c r="B14" s="124" t="s">
        <v>11</v>
      </c>
      <c r="C14" s="91"/>
      <c r="D14" s="22">
        <f>D13</f>
        <v>45</v>
      </c>
      <c r="E14" s="7">
        <f>E13</f>
        <v>2060</v>
      </c>
      <c r="F14" s="64">
        <f>F6</f>
        <v>1</v>
      </c>
      <c r="G14" s="54">
        <f>F14/F6</f>
        <v>1</v>
      </c>
      <c r="H14" s="36">
        <f>IF(D14=45,base!E5,base!E6)</f>
        <v>0</v>
      </c>
      <c r="I14" s="10">
        <f t="shared" si="0"/>
        <v>2.06</v>
      </c>
      <c r="J14" s="10">
        <f t="shared" si="1"/>
        <v>0</v>
      </c>
      <c r="M14" t="str">
        <f>B6</f>
        <v>GG</v>
      </c>
      <c r="N14" t="s">
        <v>72</v>
      </c>
      <c r="O14">
        <f>D6</f>
        <v>2000</v>
      </c>
      <c r="P14">
        <f>E6</f>
        <v>2000</v>
      </c>
      <c r="Q14">
        <f>F6</f>
        <v>1</v>
      </c>
      <c r="R14" s="50">
        <f>J28</f>
        <v>290.71114425287357</v>
      </c>
    </row>
    <row r="15" spans="2:18" ht="20.25" customHeight="1" thickBot="1" x14ac:dyDescent="0.3">
      <c r="B15" s="124" t="s">
        <v>43</v>
      </c>
      <c r="C15" s="91"/>
      <c r="D15" s="22">
        <f>D10</f>
        <v>66</v>
      </c>
      <c r="E15" s="7">
        <f>IF(D11=250,E11+6,E11+10)</f>
        <v>2132</v>
      </c>
      <c r="F15" s="67">
        <f>F6</f>
        <v>1</v>
      </c>
      <c r="G15" s="54">
        <f>F15/F6</f>
        <v>1</v>
      </c>
      <c r="H15" s="36">
        <f>IF(D11=66,base!E11,base!E12)</f>
        <v>7.5741379310344827</v>
      </c>
      <c r="I15" s="10">
        <f>E15/1000</f>
        <v>2.1320000000000001</v>
      </c>
      <c r="J15" s="10">
        <f>I15*H15*F15</f>
        <v>16.148062068965519</v>
      </c>
    </row>
    <row r="16" spans="2:18" ht="20.25" customHeight="1" thickBot="1" x14ac:dyDescent="0.3">
      <c r="B16" s="124" t="s">
        <v>12</v>
      </c>
      <c r="C16" s="91"/>
      <c r="D16" s="22">
        <f>D11</f>
        <v>250</v>
      </c>
      <c r="E16" s="7"/>
      <c r="F16" s="64">
        <f>F6</f>
        <v>1</v>
      </c>
      <c r="G16" s="54">
        <f>F16/F6</f>
        <v>1</v>
      </c>
      <c r="H16" s="36">
        <f>IF(D16=205,base!E19,IF(D16=180,base!E18,IF(D16=250,base!E20)))</f>
        <v>34.69</v>
      </c>
      <c r="I16" s="10"/>
      <c r="J16" s="10">
        <f>H16*F16</f>
        <v>34.69</v>
      </c>
    </row>
    <row r="17" spans="2:12" ht="20.25" customHeight="1" thickBot="1" x14ac:dyDescent="0.3">
      <c r="B17" s="23" t="s">
        <v>13</v>
      </c>
      <c r="C17" s="24"/>
      <c r="D17" s="22">
        <f>D11</f>
        <v>250</v>
      </c>
      <c r="E17" s="7"/>
      <c r="F17" s="64">
        <f>F6</f>
        <v>1</v>
      </c>
      <c r="G17" s="54">
        <f>F17/F6</f>
        <v>1</v>
      </c>
      <c r="H17" s="37">
        <f>IF(D17=205,base!E23,IF(D17=180,base!E22,IF(D17=250,base!E24)))</f>
        <v>0</v>
      </c>
      <c r="I17" s="10"/>
      <c r="J17" s="10">
        <f>H17*F17</f>
        <v>0</v>
      </c>
    </row>
    <row r="18" spans="2:12" ht="20.25" hidden="1" customHeight="1" thickBot="1" x14ac:dyDescent="0.3">
      <c r="B18" s="39"/>
      <c r="C18" s="40"/>
      <c r="D18" s="22"/>
      <c r="E18" s="7"/>
      <c r="F18" s="64"/>
      <c r="G18" s="54">
        <f>F18/F6</f>
        <v>0</v>
      </c>
      <c r="H18" s="37"/>
      <c r="I18" s="10"/>
      <c r="J18" s="10"/>
    </row>
    <row r="19" spans="2:12" ht="20.25" hidden="1" customHeight="1" thickBot="1" x14ac:dyDescent="0.3">
      <c r="B19" s="39"/>
      <c r="C19" s="40"/>
      <c r="D19" s="22"/>
      <c r="E19" s="7"/>
      <c r="F19" s="64"/>
      <c r="G19" s="54">
        <f>F19/F6</f>
        <v>0</v>
      </c>
      <c r="H19" s="37"/>
      <c r="I19" s="10"/>
      <c r="J19" s="10"/>
    </row>
    <row r="20" spans="2:12" ht="20.25" customHeight="1" thickBot="1" x14ac:dyDescent="0.3">
      <c r="B20" s="23" t="s">
        <v>16</v>
      </c>
      <c r="C20" s="24"/>
      <c r="D20" s="22">
        <f>D10</f>
        <v>66</v>
      </c>
      <c r="E20" s="7"/>
      <c r="F20" s="64">
        <f>F6</f>
        <v>1</v>
      </c>
      <c r="G20" s="54">
        <f>F20/F6</f>
        <v>1</v>
      </c>
      <c r="H20" s="37">
        <f>IF(D20=66,base!E28,base!E29)</f>
        <v>0</v>
      </c>
      <c r="I20" s="10"/>
      <c r="J20" s="10">
        <f t="shared" ref="J20:J27" si="2">H20*F20</f>
        <v>0</v>
      </c>
    </row>
    <row r="21" spans="2:12" ht="20.25" customHeight="1" thickBot="1" x14ac:dyDescent="0.3">
      <c r="B21" s="23" t="s">
        <v>17</v>
      </c>
      <c r="C21" s="24"/>
      <c r="D21" s="22"/>
      <c r="E21" s="7"/>
      <c r="F21" s="64">
        <f>F6</f>
        <v>1</v>
      </c>
      <c r="G21" s="54">
        <f>+IF(B27="MOTEUR",0,1)</f>
        <v>0</v>
      </c>
      <c r="H21" s="37">
        <f>base!E32</f>
        <v>3</v>
      </c>
      <c r="I21" s="10"/>
      <c r="J21" s="10">
        <f t="shared" si="2"/>
        <v>3</v>
      </c>
    </row>
    <row r="22" spans="2:12" ht="20.25" customHeight="1" thickBot="1" x14ac:dyDescent="0.3">
      <c r="B22" s="23" t="s">
        <v>18</v>
      </c>
      <c r="C22" s="24"/>
      <c r="D22" s="22">
        <v>45</v>
      </c>
      <c r="E22" s="7"/>
      <c r="F22" s="64">
        <f>G22*F6</f>
        <v>4</v>
      </c>
      <c r="G22" s="55">
        <f>ROUNDUP((D6/500),0)</f>
        <v>4</v>
      </c>
      <c r="H22" s="37">
        <f>IF(D22=45,base!E33,base!E34)</f>
        <v>3</v>
      </c>
      <c r="I22" s="10"/>
      <c r="J22" s="10">
        <f t="shared" si="2"/>
        <v>12</v>
      </c>
    </row>
    <row r="23" spans="2:12" ht="20.25" customHeight="1" thickBot="1" x14ac:dyDescent="0.3">
      <c r="B23" s="23" t="s">
        <v>19</v>
      </c>
      <c r="C23" s="24"/>
      <c r="D23" s="22">
        <f>D12</f>
        <v>64</v>
      </c>
      <c r="E23" s="7"/>
      <c r="F23" s="64">
        <f>F6</f>
        <v>1</v>
      </c>
      <c r="G23" s="54">
        <f>F23/F6</f>
        <v>1</v>
      </c>
      <c r="H23" s="37">
        <f>IF(D23=60,base!#REF!,base!E35)</f>
        <v>0</v>
      </c>
      <c r="I23" s="10"/>
      <c r="J23" s="10">
        <f t="shared" si="2"/>
        <v>0</v>
      </c>
    </row>
    <row r="24" spans="2:12" ht="20.25" customHeight="1" thickBot="1" x14ac:dyDescent="0.3">
      <c r="B24" s="124" t="str">
        <f>IF(D11=250,"PLAQUE  SUPPORT GOUPILLE",IF(D11=300,"PLAQUE  SUPPORT GOUPILLE",IF(D11=205,"ROULEMENT A BILLES",IF(D11=180,"ROULEMENT A BILLES"))))</f>
        <v>PLAQUE  SUPPORT GOUPILLE</v>
      </c>
      <c r="C24" s="91"/>
      <c r="D24" s="22">
        <f>IF(D11=250,250,IF(D11=300,300,IF(D11=180,"diam 22",IF(D11=205,"diam 22"))))</f>
        <v>250</v>
      </c>
      <c r="E24" s="7"/>
      <c r="F24" s="64">
        <f>F6</f>
        <v>1</v>
      </c>
      <c r="G24" s="54">
        <f>F24/F6</f>
        <v>1</v>
      </c>
      <c r="H24" s="37">
        <f>IF(D24="dia 42",base!E39,base!E38)</f>
        <v>0</v>
      </c>
      <c r="I24" s="10"/>
      <c r="J24" s="10">
        <f t="shared" si="2"/>
        <v>0</v>
      </c>
      <c r="L24" s="45" t="s">
        <v>66</v>
      </c>
    </row>
    <row r="25" spans="2:12" ht="19.5" customHeight="1" thickBot="1" x14ac:dyDescent="0.3">
      <c r="B25" s="124" t="s">
        <v>20</v>
      </c>
      <c r="C25" s="91"/>
      <c r="D25" s="22">
        <f>1</f>
        <v>1</v>
      </c>
      <c r="E25" s="7"/>
      <c r="F25" s="64">
        <f>F6</f>
        <v>1</v>
      </c>
      <c r="G25" s="54">
        <f>F25/F6</f>
        <v>1</v>
      </c>
      <c r="H25" s="37">
        <f>base!D40</f>
        <v>0</v>
      </c>
      <c r="I25" s="10"/>
      <c r="J25" s="10">
        <f t="shared" si="2"/>
        <v>0</v>
      </c>
      <c r="L25" s="47">
        <f>L27/F6</f>
        <v>668.63563178160916</v>
      </c>
    </row>
    <row r="26" spans="2:12" ht="20.25" customHeight="1" thickBot="1" x14ac:dyDescent="0.3">
      <c r="B26" s="23" t="s">
        <v>21</v>
      </c>
      <c r="C26" s="24"/>
      <c r="D26" s="22" t="s">
        <v>22</v>
      </c>
      <c r="E26" s="13"/>
      <c r="F26" s="64">
        <f>F6</f>
        <v>1</v>
      </c>
      <c r="G26" s="54">
        <f>F26/F6</f>
        <v>1</v>
      </c>
      <c r="H26" s="37">
        <f>base!E41</f>
        <v>14.67</v>
      </c>
      <c r="I26" s="10"/>
      <c r="J26" s="10">
        <f t="shared" si="2"/>
        <v>14.67</v>
      </c>
      <c r="L26" s="45" t="s">
        <v>65</v>
      </c>
    </row>
    <row r="27" spans="2:12" ht="20.25" customHeight="1" thickBot="1" x14ac:dyDescent="0.3">
      <c r="B27" s="122" t="s">
        <v>47</v>
      </c>
      <c r="C27" s="123"/>
      <c r="D27" s="14">
        <v>30</v>
      </c>
      <c r="E27" s="8"/>
      <c r="F27" s="65">
        <f>F6</f>
        <v>1</v>
      </c>
      <c r="G27" s="56">
        <f>F27/F6</f>
        <v>1</v>
      </c>
      <c r="H27" s="37">
        <f>IF(D27=30,base!E42,IF(D27=50,base!E43,IF(D27=80,base!E44,IF(D27=120,base!E45))))</f>
        <v>146.96</v>
      </c>
      <c r="I27" s="10"/>
      <c r="J27" s="10">
        <f t="shared" si="2"/>
        <v>146.96</v>
      </c>
      <c r="L27" s="47">
        <f>J28*2.3</f>
        <v>668.63563178160916</v>
      </c>
    </row>
    <row r="28" spans="2:12" ht="15.75" thickTop="1" x14ac:dyDescent="0.25">
      <c r="H28" s="92" t="s">
        <v>67</v>
      </c>
      <c r="I28" s="92"/>
      <c r="J28" s="10">
        <f>SUM(J10:J27)</f>
        <v>290.71114425287357</v>
      </c>
    </row>
    <row r="29" spans="2:12" x14ac:dyDescent="0.25">
      <c r="D29" s="26">
        <v>50</v>
      </c>
    </row>
    <row r="30" spans="2:12" x14ac:dyDescent="0.25">
      <c r="H30" t="s">
        <v>68</v>
      </c>
      <c r="J30" s="10">
        <f>J28/F6</f>
        <v>290.71114425287357</v>
      </c>
    </row>
    <row r="36" spans="4:4" x14ac:dyDescent="0.25">
      <c r="D36" s="26">
        <v>50</v>
      </c>
    </row>
    <row r="37" spans="4:4" x14ac:dyDescent="0.25">
      <c r="D37" s="26">
        <v>80</v>
      </c>
    </row>
    <row r="52" spans="3:8" ht="15.75" thickBot="1" x14ac:dyDescent="0.3"/>
    <row r="53" spans="3:8" ht="15.75" thickBot="1" x14ac:dyDescent="0.3">
      <c r="C53" s="83"/>
      <c r="D53" s="84"/>
      <c r="E53" s="13" t="s">
        <v>57</v>
      </c>
      <c r="F53" s="13" t="s">
        <v>59</v>
      </c>
      <c r="G53" s="13" t="s">
        <v>87</v>
      </c>
      <c r="H53" s="13" t="s">
        <v>88</v>
      </c>
    </row>
    <row r="54" spans="3:8" ht="15.75" thickBot="1" x14ac:dyDescent="0.3">
      <c r="C54" s="113" t="s">
        <v>95</v>
      </c>
      <c r="D54" s="114"/>
      <c r="E54" s="80">
        <f>IF(D10=66,base!E11,IF(D10=76,base!E12,IF(D10=80,base!E13,IF(D10=95,base!E14))))</f>
        <v>0</v>
      </c>
      <c r="F54" s="80">
        <f>+E10*F10/1000</f>
        <v>4.2320000000000002</v>
      </c>
      <c r="G54" s="81">
        <f>H54/F6</f>
        <v>0</v>
      </c>
      <c r="H54" s="81">
        <f>+E54*F54*F6</f>
        <v>0</v>
      </c>
    </row>
    <row r="55" spans="3:8" ht="15.75" thickBot="1" x14ac:dyDescent="0.3">
      <c r="C55" s="13" t="s">
        <v>96</v>
      </c>
      <c r="D55" s="22"/>
      <c r="E55" s="80">
        <f>IF(D11=205,base!E8,IF(D11=180,base!E7,IF(D11=250,base!E9,IF(D11=300,base!E10))))</f>
        <v>24.501724137931038</v>
      </c>
      <c r="F55" s="80">
        <f>E11/100</f>
        <v>21.26</v>
      </c>
      <c r="G55" s="81">
        <f>H55/F6</f>
        <v>520.90665517241393</v>
      </c>
      <c r="H55" s="81">
        <f>E55*F55*F6</f>
        <v>520.90665517241393</v>
      </c>
    </row>
    <row r="56" spans="3:8" ht="15.75" thickBot="1" x14ac:dyDescent="0.3">
      <c r="C56" s="113" t="s">
        <v>9</v>
      </c>
      <c r="D56" s="114"/>
      <c r="E56" s="80">
        <f>IF(D12=54,base!E15,IF(D12=64,base!E16,IF(D12=80,base!E17)))</f>
        <v>6.0283333333333333</v>
      </c>
      <c r="F56" s="80">
        <f>E12/1000</f>
        <v>1.85</v>
      </c>
      <c r="G56" s="81">
        <f>H56/F6</f>
        <v>11.152416666666667</v>
      </c>
      <c r="H56" s="81">
        <f>E56*F56*F6</f>
        <v>11.152416666666667</v>
      </c>
    </row>
    <row r="57" spans="3:8" ht="15.75" thickBot="1" x14ac:dyDescent="0.3">
      <c r="C57" s="113" t="s">
        <v>10</v>
      </c>
      <c r="D57" s="114"/>
      <c r="E57" s="80">
        <f>IF(D13=45,base!E3,base!E4)</f>
        <v>0</v>
      </c>
      <c r="F57" s="80">
        <f>E13*G13/1000</f>
        <v>94.76</v>
      </c>
      <c r="G57" s="81">
        <f>H57/F6</f>
        <v>94.76</v>
      </c>
      <c r="H57" s="81">
        <f>F57*F6</f>
        <v>94.76</v>
      </c>
    </row>
    <row r="58" spans="3:8" ht="15.75" thickBot="1" x14ac:dyDescent="0.3">
      <c r="C58" s="113" t="s">
        <v>11</v>
      </c>
      <c r="D58" s="114"/>
      <c r="E58" s="80">
        <f>IF(D14=45,base!E5,base!E6)</f>
        <v>0</v>
      </c>
      <c r="F58" s="80">
        <f>E14/1000</f>
        <v>2.06</v>
      </c>
      <c r="G58" s="81">
        <f>H58/F6</f>
        <v>0</v>
      </c>
      <c r="H58" s="81">
        <f>F58*E58*F6</f>
        <v>0</v>
      </c>
    </row>
    <row r="59" spans="3:8" ht="15.75" thickBot="1" x14ac:dyDescent="0.3">
      <c r="C59" s="113" t="s">
        <v>12</v>
      </c>
      <c r="D59" s="114"/>
      <c r="E59" s="80">
        <f>IF(D16=205,base!E19,IF(D16=180,base!E18,IF(D16=250,base!E20,IF(D16=300,base!E21))))</f>
        <v>34.69</v>
      </c>
      <c r="F59" s="80"/>
      <c r="G59" s="81">
        <f>E59</f>
        <v>34.69</v>
      </c>
      <c r="H59" s="81">
        <f>G59*F6</f>
        <v>34.69</v>
      </c>
    </row>
    <row r="60" spans="3:8" ht="15.75" thickBot="1" x14ac:dyDescent="0.3">
      <c r="C60" s="13" t="s">
        <v>13</v>
      </c>
      <c r="D60" s="22"/>
      <c r="E60" s="80">
        <f>IF(D17=205,base!E23,IF(D17=180,base!E22,IF(D17=250,base!E24,IF(D17=300,base!E25))))</f>
        <v>0</v>
      </c>
      <c r="F60" s="80"/>
      <c r="G60" s="81">
        <f>E60</f>
        <v>0</v>
      </c>
      <c r="H60" s="81">
        <f>G60*F6</f>
        <v>0</v>
      </c>
    </row>
    <row r="61" spans="3:8" ht="15.75" thickBot="1" x14ac:dyDescent="0.3">
      <c r="C61" s="113" t="s">
        <v>43</v>
      </c>
      <c r="D61" s="114"/>
      <c r="E61" s="80">
        <f>base!E46</f>
        <v>54</v>
      </c>
      <c r="F61" s="80">
        <f>E15/1000</f>
        <v>2.1320000000000001</v>
      </c>
      <c r="G61" s="81">
        <f>F61*E61</f>
        <v>115.128</v>
      </c>
      <c r="H61" s="81">
        <f>G61*F6</f>
        <v>115.128</v>
      </c>
    </row>
    <row r="62" spans="3:8" ht="15.75" thickBot="1" x14ac:dyDescent="0.3">
      <c r="C62" s="113" t="s">
        <v>15</v>
      </c>
      <c r="D62" s="114"/>
      <c r="E62" s="80"/>
      <c r="F62" s="80"/>
      <c r="G62" s="81"/>
      <c r="H62" s="81"/>
    </row>
    <row r="63" spans="3:8" ht="15.75" thickBot="1" x14ac:dyDescent="0.3">
      <c r="C63" s="113" t="s">
        <v>61</v>
      </c>
      <c r="D63" s="114"/>
      <c r="E63" s="80">
        <f>IF(D20=66,base!E28,IF(D20=76,base!E29,IF(D20=80,base!E30,IF(D20=95,base!E31))))</f>
        <v>0</v>
      </c>
      <c r="F63" s="80"/>
      <c r="G63" s="81">
        <f>E63</f>
        <v>0</v>
      </c>
      <c r="H63" s="81">
        <f>G63*F6</f>
        <v>0</v>
      </c>
    </row>
    <row r="64" spans="3:8" ht="15.75" thickBot="1" x14ac:dyDescent="0.3">
      <c r="C64" s="113" t="s">
        <v>17</v>
      </c>
      <c r="D64" s="114"/>
      <c r="E64" s="80">
        <f>base!E32</f>
        <v>3</v>
      </c>
      <c r="F64" s="80"/>
      <c r="G64" s="81">
        <f>G21*E64</f>
        <v>0</v>
      </c>
      <c r="H64" s="81">
        <f>G64*F6</f>
        <v>0</v>
      </c>
    </row>
    <row r="65" spans="3:8" ht="15.75" thickBot="1" x14ac:dyDescent="0.3">
      <c r="C65" s="113" t="s">
        <v>18</v>
      </c>
      <c r="D65" s="114"/>
      <c r="E65" s="80">
        <f>IF(D22=45,base!E33,base!E34)</f>
        <v>3</v>
      </c>
      <c r="F65" s="80"/>
      <c r="G65" s="81">
        <f>E65*G22</f>
        <v>12</v>
      </c>
      <c r="H65" s="81">
        <f>G65*F6</f>
        <v>12</v>
      </c>
    </row>
    <row r="66" spans="3:8" ht="15.75" thickBot="1" x14ac:dyDescent="0.3">
      <c r="C66" s="13" t="s">
        <v>19</v>
      </c>
      <c r="D66" s="22"/>
      <c r="E66" s="80">
        <f>IF(D23=54,base!E35,IF(D23=64,base!E36,IF(D23=80,base!E37)))</f>
        <v>0</v>
      </c>
      <c r="F66" s="80"/>
      <c r="G66" s="81">
        <f>E66</f>
        <v>0</v>
      </c>
      <c r="H66" s="81">
        <f>G66*F6</f>
        <v>0</v>
      </c>
    </row>
    <row r="67" spans="3:8" ht="15.75" thickBot="1" x14ac:dyDescent="0.3">
      <c r="C67" s="13" t="str">
        <f>B24</f>
        <v>PLAQUE  SUPPORT GOUPILLE</v>
      </c>
      <c r="D67" s="22"/>
      <c r="E67" s="80">
        <f>IF(D11=180,base!E38,IF(D11=205,base!E38,IF(D11=250,base!E39,IF(D11=300,base!E39))))</f>
        <v>4.87</v>
      </c>
      <c r="F67" s="80"/>
      <c r="G67" s="81">
        <f>E67</f>
        <v>4.87</v>
      </c>
      <c r="H67" s="81">
        <f>G67*F6</f>
        <v>4.87</v>
      </c>
    </row>
    <row r="68" spans="3:8" ht="15.75" thickBot="1" x14ac:dyDescent="0.3">
      <c r="C68" s="113" t="s">
        <v>20</v>
      </c>
      <c r="D68" s="114"/>
      <c r="E68" s="80">
        <f>base!E40</f>
        <v>11.13</v>
      </c>
      <c r="F68" s="80"/>
      <c r="G68" s="81">
        <f>E68</f>
        <v>11.13</v>
      </c>
      <c r="H68" s="81">
        <f>G68*F6</f>
        <v>11.13</v>
      </c>
    </row>
    <row r="69" spans="3:8" ht="15.75" thickBot="1" x14ac:dyDescent="0.3">
      <c r="C69" s="113" t="s">
        <v>21</v>
      </c>
      <c r="D69" s="114"/>
      <c r="E69" s="80">
        <f>base!E41</f>
        <v>14.67</v>
      </c>
      <c r="F69" s="80"/>
      <c r="G69" s="81">
        <f>E69</f>
        <v>14.67</v>
      </c>
      <c r="H69" s="81">
        <f>G69*F6</f>
        <v>14.67</v>
      </c>
    </row>
    <row r="70" spans="3:8" ht="15.75" thickBot="1" x14ac:dyDescent="0.3">
      <c r="C70" s="13" t="s">
        <v>100</v>
      </c>
      <c r="D70" s="22"/>
      <c r="E70" s="80">
        <f>IF(D27=30,base!E42,IF(D27=50,base!E43,IF(D27=80,base!E44,IF(D27=120,base!E45))))</f>
        <v>146.96</v>
      </c>
      <c r="F70" s="80"/>
      <c r="G70" s="81">
        <f>E70</f>
        <v>146.96</v>
      </c>
      <c r="H70" s="81">
        <f>G70*F6</f>
        <v>146.96</v>
      </c>
    </row>
    <row r="71" spans="3:8" x14ac:dyDescent="0.25">
      <c r="E71" s="10"/>
      <c r="F71" s="10" t="s">
        <v>97</v>
      </c>
      <c r="G71" s="50">
        <f>SUM(G54:G70)</f>
        <v>966.2670718390807</v>
      </c>
      <c r="H71" s="50">
        <f>SUM(H54:H70)</f>
        <v>966.2670718390807</v>
      </c>
    </row>
  </sheetData>
  <mergeCells count="30">
    <mergeCell ref="C3:E3"/>
    <mergeCell ref="B12:C12"/>
    <mergeCell ref="B9:D9"/>
    <mergeCell ref="B10:C10"/>
    <mergeCell ref="B11:C11"/>
    <mergeCell ref="B5:C5"/>
    <mergeCell ref="B6:C6"/>
    <mergeCell ref="B7:C8"/>
    <mergeCell ref="D7:D8"/>
    <mergeCell ref="E7:E8"/>
    <mergeCell ref="H28:I28"/>
    <mergeCell ref="B15:C15"/>
    <mergeCell ref="B27:C27"/>
    <mergeCell ref="B25:C25"/>
    <mergeCell ref="B13:C13"/>
    <mergeCell ref="B16:C16"/>
    <mergeCell ref="B14:C14"/>
    <mergeCell ref="B24:C24"/>
    <mergeCell ref="C54:D54"/>
    <mergeCell ref="C56:D56"/>
    <mergeCell ref="C57:D57"/>
    <mergeCell ref="C58:D58"/>
    <mergeCell ref="C59:D59"/>
    <mergeCell ref="C68:D68"/>
    <mergeCell ref="C69:D69"/>
    <mergeCell ref="C61:D61"/>
    <mergeCell ref="C62:D62"/>
    <mergeCell ref="C63:D63"/>
    <mergeCell ref="C64:D64"/>
    <mergeCell ref="C65:D65"/>
  </mergeCells>
  <pageMargins left="0.11811023622047245" right="0" top="0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imprimer">
                <anchor moveWithCells="1">
                  <from>
                    <xdr:col>7</xdr:col>
                    <xdr:colOff>9525</xdr:colOff>
                    <xdr:row>1</xdr:row>
                    <xdr:rowOff>9525</xdr:rowOff>
                  </from>
                  <to>
                    <xdr:col>8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macro8">
                <anchor moveWithCells="1" sizeWithCells="1">
                  <from>
                    <xdr:col>14</xdr:col>
                    <xdr:colOff>9525</xdr:colOff>
                    <xdr:row>15</xdr:row>
                    <xdr:rowOff>38100</xdr:rowOff>
                  </from>
                  <to>
                    <xdr:col>16</xdr:col>
                    <xdr:colOff>733425</xdr:colOff>
                    <xdr:row>17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2:E46"/>
  <sheetViews>
    <sheetView topLeftCell="A4" workbookViewId="0">
      <selection activeCell="G32" sqref="G32"/>
    </sheetView>
  </sheetViews>
  <sheetFormatPr baseColWidth="10" defaultRowHeight="15" x14ac:dyDescent="0.25"/>
  <cols>
    <col min="1" max="1" width="34.28515625" customWidth="1"/>
    <col min="2" max="2" width="11.42578125" style="4"/>
    <col min="5" max="5" width="14.5703125" bestFit="1" customWidth="1"/>
  </cols>
  <sheetData>
    <row r="2" spans="1:5" x14ac:dyDescent="0.25">
      <c r="C2" s="33" t="s">
        <v>23</v>
      </c>
      <c r="D2" s="33" t="s">
        <v>24</v>
      </c>
      <c r="E2" s="33" t="s">
        <v>25</v>
      </c>
    </row>
    <row r="3" spans="1:5" x14ac:dyDescent="0.25">
      <c r="A3" t="s">
        <v>26</v>
      </c>
      <c r="B3" s="4">
        <v>45</v>
      </c>
      <c r="C3" s="26">
        <v>5.8</v>
      </c>
      <c r="D3" s="34"/>
      <c r="E3" s="31"/>
    </row>
    <row r="4" spans="1:5" x14ac:dyDescent="0.25">
      <c r="A4" t="s">
        <v>26</v>
      </c>
      <c r="B4" s="4">
        <v>60</v>
      </c>
      <c r="C4" s="26">
        <v>5.8</v>
      </c>
      <c r="D4" s="34">
        <v>18.350000000000001</v>
      </c>
      <c r="E4" s="31">
        <f>D4/C4</f>
        <v>3.1637931034482762</v>
      </c>
    </row>
    <row r="5" spans="1:5" x14ac:dyDescent="0.25">
      <c r="A5" t="s">
        <v>27</v>
      </c>
      <c r="B5" s="4">
        <v>45</v>
      </c>
      <c r="C5" s="26">
        <v>5.8</v>
      </c>
      <c r="D5" s="34"/>
      <c r="E5" s="31">
        <f t="shared" ref="E5:E17" si="0">D5/C5</f>
        <v>0</v>
      </c>
    </row>
    <row r="6" spans="1:5" x14ac:dyDescent="0.25">
      <c r="A6" t="s">
        <v>89</v>
      </c>
      <c r="B6" s="4">
        <v>60</v>
      </c>
      <c r="C6" s="26">
        <v>6</v>
      </c>
      <c r="D6" s="34">
        <v>22.22</v>
      </c>
      <c r="E6" s="31">
        <f t="shared" si="0"/>
        <v>3.7033333333333331</v>
      </c>
    </row>
    <row r="7" spans="1:5" x14ac:dyDescent="0.25">
      <c r="A7" t="s">
        <v>28</v>
      </c>
      <c r="B7" s="4">
        <v>180</v>
      </c>
      <c r="C7" s="26">
        <v>5.8</v>
      </c>
      <c r="D7" s="34"/>
      <c r="E7" s="31">
        <f t="shared" si="0"/>
        <v>0</v>
      </c>
    </row>
    <row r="8" spans="1:5" x14ac:dyDescent="0.25">
      <c r="A8" t="s">
        <v>28</v>
      </c>
      <c r="B8" s="4">
        <v>205</v>
      </c>
      <c r="C8" s="26">
        <v>5.8</v>
      </c>
      <c r="D8" s="34">
        <v>110.15</v>
      </c>
      <c r="E8" s="31">
        <f t="shared" si="0"/>
        <v>18.991379310344829</v>
      </c>
    </row>
    <row r="9" spans="1:5" x14ac:dyDescent="0.25">
      <c r="A9" t="s">
        <v>28</v>
      </c>
      <c r="B9" s="4">
        <v>250</v>
      </c>
      <c r="C9" s="26">
        <v>5.8</v>
      </c>
      <c r="D9" s="34">
        <v>142.11000000000001</v>
      </c>
      <c r="E9" s="31">
        <f t="shared" si="0"/>
        <v>24.501724137931038</v>
      </c>
    </row>
    <row r="10" spans="1:5" x14ac:dyDescent="0.25">
      <c r="A10" t="s">
        <v>28</v>
      </c>
      <c r="B10" s="4">
        <v>300</v>
      </c>
      <c r="C10" s="26">
        <v>5.8</v>
      </c>
      <c r="D10" s="34"/>
      <c r="E10" s="31">
        <f t="shared" si="0"/>
        <v>0</v>
      </c>
    </row>
    <row r="11" spans="1:5" x14ac:dyDescent="0.25">
      <c r="A11" t="s">
        <v>29</v>
      </c>
      <c r="B11" s="4">
        <v>66</v>
      </c>
      <c r="C11" s="26">
        <v>5.8</v>
      </c>
      <c r="D11" s="34"/>
      <c r="E11" s="31">
        <f t="shared" si="0"/>
        <v>0</v>
      </c>
    </row>
    <row r="12" spans="1:5" x14ac:dyDescent="0.25">
      <c r="A12" t="s">
        <v>29</v>
      </c>
      <c r="B12" s="4">
        <v>76</v>
      </c>
      <c r="C12" s="26">
        <v>5.8</v>
      </c>
      <c r="D12" s="34">
        <v>43.93</v>
      </c>
      <c r="E12" s="31">
        <f t="shared" si="0"/>
        <v>7.5741379310344827</v>
      </c>
    </row>
    <row r="13" spans="1:5" x14ac:dyDescent="0.25">
      <c r="A13" t="s">
        <v>29</v>
      </c>
      <c r="B13" s="4">
        <v>80</v>
      </c>
      <c r="C13" s="26">
        <v>5.8</v>
      </c>
      <c r="D13" s="34">
        <v>43.95</v>
      </c>
      <c r="E13" s="31">
        <f t="shared" si="0"/>
        <v>7.5775862068965525</v>
      </c>
    </row>
    <row r="14" spans="1:5" x14ac:dyDescent="0.25">
      <c r="A14" t="s">
        <v>29</v>
      </c>
      <c r="B14" s="4">
        <v>95</v>
      </c>
      <c r="C14" s="26">
        <v>4.5</v>
      </c>
      <c r="D14" s="34">
        <v>42.21</v>
      </c>
      <c r="E14" s="31">
        <f t="shared" si="0"/>
        <v>9.3800000000000008</v>
      </c>
    </row>
    <row r="15" spans="1:5" x14ac:dyDescent="0.25">
      <c r="A15" t="s">
        <v>30</v>
      </c>
      <c r="B15" s="4">
        <v>54</v>
      </c>
      <c r="C15" s="26">
        <v>6</v>
      </c>
      <c r="D15" s="34"/>
      <c r="E15" s="31">
        <f t="shared" si="0"/>
        <v>0</v>
      </c>
    </row>
    <row r="16" spans="1:5" x14ac:dyDescent="0.25">
      <c r="A16" t="s">
        <v>30</v>
      </c>
      <c r="B16" s="4">
        <v>64</v>
      </c>
      <c r="C16" s="26">
        <v>6</v>
      </c>
      <c r="D16" s="34">
        <v>36.17</v>
      </c>
      <c r="E16" s="31">
        <f t="shared" si="0"/>
        <v>6.0283333333333333</v>
      </c>
    </row>
    <row r="17" spans="1:5" x14ac:dyDescent="0.25">
      <c r="A17" t="s">
        <v>30</v>
      </c>
      <c r="B17" s="4">
        <v>80</v>
      </c>
      <c r="C17" s="26">
        <v>7</v>
      </c>
      <c r="D17" s="34">
        <v>52.87</v>
      </c>
      <c r="E17" s="31">
        <f t="shared" si="0"/>
        <v>7.5528571428571425</v>
      </c>
    </row>
    <row r="18" spans="1:5" x14ac:dyDescent="0.25">
      <c r="A18" t="s">
        <v>31</v>
      </c>
      <c r="B18" s="4">
        <v>180</v>
      </c>
      <c r="C18" s="26" t="s">
        <v>56</v>
      </c>
      <c r="D18" s="34"/>
      <c r="E18" s="31"/>
    </row>
    <row r="19" spans="1:5" x14ac:dyDescent="0.25">
      <c r="A19" t="s">
        <v>31</v>
      </c>
      <c r="B19" s="4">
        <v>205</v>
      </c>
      <c r="C19" s="26" t="s">
        <v>56</v>
      </c>
      <c r="D19" s="34"/>
      <c r="E19" s="31">
        <v>13.72</v>
      </c>
    </row>
    <row r="20" spans="1:5" x14ac:dyDescent="0.25">
      <c r="A20" t="s">
        <v>31</v>
      </c>
      <c r="B20" s="4">
        <v>250</v>
      </c>
      <c r="C20" s="26" t="s">
        <v>56</v>
      </c>
      <c r="D20" s="34"/>
      <c r="E20" s="31">
        <v>34.69</v>
      </c>
    </row>
    <row r="21" spans="1:5" x14ac:dyDescent="0.25">
      <c r="A21" t="s">
        <v>31</v>
      </c>
      <c r="B21" s="4">
        <v>300</v>
      </c>
      <c r="C21" s="26" t="s">
        <v>56</v>
      </c>
      <c r="D21" s="34"/>
      <c r="E21" s="31"/>
    </row>
    <row r="22" spans="1:5" x14ac:dyDescent="0.25">
      <c r="A22" t="s">
        <v>32</v>
      </c>
      <c r="B22" s="4">
        <v>180</v>
      </c>
      <c r="C22" s="26" t="s">
        <v>90</v>
      </c>
      <c r="D22" s="34"/>
      <c r="E22" s="31">
        <v>1.47</v>
      </c>
    </row>
    <row r="23" spans="1:5" x14ac:dyDescent="0.25">
      <c r="A23" t="s">
        <v>32</v>
      </c>
      <c r="B23" s="4">
        <v>205</v>
      </c>
      <c r="C23" s="26" t="s">
        <v>90</v>
      </c>
      <c r="D23" s="34"/>
      <c r="E23" s="31">
        <v>3.14</v>
      </c>
    </row>
    <row r="24" spans="1:5" x14ac:dyDescent="0.25">
      <c r="A24" t="s">
        <v>32</v>
      </c>
      <c r="B24" s="4">
        <v>250</v>
      </c>
      <c r="C24" s="26" t="s">
        <v>90</v>
      </c>
      <c r="D24" s="34"/>
      <c r="E24" s="31"/>
    </row>
    <row r="25" spans="1:5" x14ac:dyDescent="0.25">
      <c r="A25" t="s">
        <v>91</v>
      </c>
      <c r="B25" s="4">
        <v>300</v>
      </c>
      <c r="C25" s="26" t="s">
        <v>90</v>
      </c>
      <c r="D25" s="34"/>
      <c r="E25" s="31"/>
    </row>
    <row r="26" spans="1:5" x14ac:dyDescent="0.25">
      <c r="A26" t="s">
        <v>33</v>
      </c>
      <c r="B26" s="11" t="s">
        <v>34</v>
      </c>
      <c r="C26" s="26"/>
      <c r="D26" s="34"/>
      <c r="E26" s="88">
        <v>1</v>
      </c>
    </row>
    <row r="27" spans="1:5" x14ac:dyDescent="0.25">
      <c r="A27" t="s">
        <v>35</v>
      </c>
      <c r="C27" s="26"/>
      <c r="D27" s="34"/>
      <c r="E27" s="88">
        <v>2</v>
      </c>
    </row>
    <row r="28" spans="1:5" x14ac:dyDescent="0.25">
      <c r="A28" t="s">
        <v>36</v>
      </c>
      <c r="B28" s="4">
        <v>66</v>
      </c>
      <c r="C28" s="26" t="s">
        <v>56</v>
      </c>
      <c r="D28" s="34"/>
      <c r="E28" s="31"/>
    </row>
    <row r="29" spans="1:5" x14ac:dyDescent="0.25">
      <c r="A29" t="s">
        <v>36</v>
      </c>
      <c r="B29" s="4">
        <v>76</v>
      </c>
      <c r="C29" s="26" t="s">
        <v>56</v>
      </c>
      <c r="D29" s="34"/>
      <c r="E29" s="31">
        <v>5.85</v>
      </c>
    </row>
    <row r="30" spans="1:5" x14ac:dyDescent="0.25">
      <c r="A30" t="s">
        <v>36</v>
      </c>
      <c r="B30" s="4">
        <v>80</v>
      </c>
      <c r="C30" s="26" t="s">
        <v>56</v>
      </c>
      <c r="D30" s="34"/>
      <c r="E30" s="31"/>
    </row>
    <row r="31" spans="1:5" x14ac:dyDescent="0.25">
      <c r="A31" t="s">
        <v>36</v>
      </c>
      <c r="B31" s="4">
        <v>95</v>
      </c>
      <c r="C31" s="26" t="s">
        <v>56</v>
      </c>
      <c r="D31" s="34"/>
      <c r="E31" s="31">
        <v>5.85</v>
      </c>
    </row>
    <row r="32" spans="1:5" x14ac:dyDescent="0.25">
      <c r="A32" t="s">
        <v>37</v>
      </c>
      <c r="C32" s="26" t="s">
        <v>55</v>
      </c>
      <c r="D32" s="34"/>
      <c r="E32" s="88">
        <v>3</v>
      </c>
    </row>
    <row r="33" spans="1:5" x14ac:dyDescent="0.25">
      <c r="A33" t="s">
        <v>38</v>
      </c>
      <c r="B33" s="4">
        <v>45</v>
      </c>
      <c r="C33" s="26"/>
      <c r="D33" s="34"/>
      <c r="E33" s="31">
        <v>3</v>
      </c>
    </row>
    <row r="34" spans="1:5" x14ac:dyDescent="0.25">
      <c r="A34" t="s">
        <v>38</v>
      </c>
      <c r="B34" s="4">
        <v>60</v>
      </c>
      <c r="C34" s="26"/>
      <c r="D34" s="34"/>
      <c r="E34" s="31">
        <v>0.9</v>
      </c>
    </row>
    <row r="35" spans="1:5" x14ac:dyDescent="0.25">
      <c r="A35" t="s">
        <v>39</v>
      </c>
      <c r="B35" s="4">
        <v>54</v>
      </c>
      <c r="C35" s="26"/>
      <c r="D35" s="34"/>
      <c r="E35" s="31"/>
    </row>
    <row r="36" spans="1:5" x14ac:dyDescent="0.25">
      <c r="A36" t="s">
        <v>39</v>
      </c>
      <c r="B36" s="4">
        <v>64</v>
      </c>
      <c r="C36" s="26"/>
      <c r="D36" s="34"/>
      <c r="E36" s="31"/>
    </row>
    <row r="37" spans="1:5" x14ac:dyDescent="0.25">
      <c r="A37" t="s">
        <v>39</v>
      </c>
      <c r="B37" s="4">
        <v>80</v>
      </c>
      <c r="C37" s="26"/>
      <c r="D37" s="34"/>
      <c r="E37" s="31"/>
    </row>
    <row r="38" spans="1:5" x14ac:dyDescent="0.25">
      <c r="A38" t="s">
        <v>40</v>
      </c>
      <c r="C38" s="26"/>
      <c r="D38" s="34"/>
      <c r="E38" s="31"/>
    </row>
    <row r="39" spans="1:5" x14ac:dyDescent="0.25">
      <c r="A39" t="s">
        <v>92</v>
      </c>
      <c r="B39" s="4" t="s">
        <v>93</v>
      </c>
      <c r="C39" s="26"/>
      <c r="D39" s="34"/>
      <c r="E39" s="31">
        <v>4.87</v>
      </c>
    </row>
    <row r="40" spans="1:5" x14ac:dyDescent="0.25">
      <c r="A40" t="s">
        <v>41</v>
      </c>
      <c r="C40" s="26" t="s">
        <v>55</v>
      </c>
      <c r="D40" s="34"/>
      <c r="E40" s="31">
        <v>11.13</v>
      </c>
    </row>
    <row r="41" spans="1:5" x14ac:dyDescent="0.25">
      <c r="A41" t="s">
        <v>42</v>
      </c>
      <c r="C41" s="26" t="s">
        <v>55</v>
      </c>
      <c r="D41" s="34"/>
      <c r="E41" s="31">
        <v>14.67</v>
      </c>
    </row>
    <row r="42" spans="1:5" x14ac:dyDescent="0.25">
      <c r="A42" t="s">
        <v>94</v>
      </c>
      <c r="B42" s="4">
        <v>30</v>
      </c>
      <c r="C42" s="26" t="s">
        <v>55</v>
      </c>
      <c r="D42" s="34"/>
      <c r="E42" s="31">
        <v>146.96</v>
      </c>
    </row>
    <row r="43" spans="1:5" x14ac:dyDescent="0.25">
      <c r="A43" t="s">
        <v>94</v>
      </c>
      <c r="B43" s="4">
        <v>50</v>
      </c>
      <c r="C43" s="26" t="s">
        <v>55</v>
      </c>
      <c r="D43" s="34"/>
      <c r="E43" s="31">
        <v>154.46</v>
      </c>
    </row>
    <row r="44" spans="1:5" x14ac:dyDescent="0.25">
      <c r="A44" t="s">
        <v>94</v>
      </c>
      <c r="B44" s="4">
        <v>80</v>
      </c>
      <c r="C44" s="26" t="s">
        <v>55</v>
      </c>
      <c r="D44" s="34"/>
      <c r="E44" s="31"/>
    </row>
    <row r="45" spans="1:5" x14ac:dyDescent="0.25">
      <c r="A45" t="s">
        <v>94</v>
      </c>
      <c r="B45" s="4">
        <v>120</v>
      </c>
      <c r="C45" s="26" t="s">
        <v>55</v>
      </c>
      <c r="D45" s="34"/>
      <c r="E45" s="31">
        <v>204.67</v>
      </c>
    </row>
    <row r="46" spans="1:5" x14ac:dyDescent="0.25">
      <c r="A46" t="s">
        <v>101</v>
      </c>
      <c r="C46" s="26"/>
      <c r="E46" s="87">
        <v>54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B2:R70"/>
  <sheetViews>
    <sheetView zoomScale="75" zoomScaleNormal="75" workbookViewId="0">
      <selection activeCell="D4" sqref="D4"/>
    </sheetView>
  </sheetViews>
  <sheetFormatPr baseColWidth="10" defaultRowHeight="15" x14ac:dyDescent="0.25"/>
  <cols>
    <col min="1" max="1" width="6.28515625" customWidth="1"/>
    <col min="3" max="3" width="18.85546875" customWidth="1"/>
    <col min="4" max="4" width="13.28515625" customWidth="1"/>
    <col min="5" max="5" width="18" customWidth="1"/>
    <col min="6" max="6" width="15.140625" customWidth="1"/>
    <col min="7" max="7" width="13.5703125" customWidth="1"/>
    <col min="12" max="12" width="28.5703125" customWidth="1"/>
    <col min="14" max="14" width="15.85546875" customWidth="1"/>
  </cols>
  <sheetData>
    <row r="2" spans="2:18" ht="18.75" x14ac:dyDescent="0.25">
      <c r="C2" s="107" t="s">
        <v>49</v>
      </c>
      <c r="D2" s="107"/>
      <c r="E2" s="107"/>
    </row>
    <row r="3" spans="2:18" ht="18.75" x14ac:dyDescent="0.25">
      <c r="C3" s="107" t="s">
        <v>51</v>
      </c>
      <c r="D3" s="107"/>
      <c r="E3" s="107"/>
    </row>
    <row r="4" spans="2:18" ht="15.75" thickBot="1" x14ac:dyDescent="0.3">
      <c r="D4" s="138">
        <v>60</v>
      </c>
    </row>
    <row r="5" spans="2:18" ht="20.25" thickTop="1" thickBot="1" x14ac:dyDescent="0.3">
      <c r="B5" s="93" t="s">
        <v>0</v>
      </c>
      <c r="C5" s="94"/>
      <c r="D5" s="2" t="s">
        <v>1</v>
      </c>
      <c r="E5" s="1" t="s">
        <v>2</v>
      </c>
      <c r="F5" s="1" t="s">
        <v>3</v>
      </c>
      <c r="G5" s="15"/>
    </row>
    <row r="6" spans="2:18" ht="20.25" thickTop="1" thickBot="1" x14ac:dyDescent="0.3">
      <c r="B6" s="95" t="s">
        <v>80</v>
      </c>
      <c r="C6" s="96"/>
      <c r="D6" s="3">
        <v>2500</v>
      </c>
      <c r="E6" s="3">
        <v>1200</v>
      </c>
      <c r="F6" s="3">
        <v>1</v>
      </c>
      <c r="G6" s="16"/>
      <c r="H6" s="44" t="s">
        <v>62</v>
      </c>
    </row>
    <row r="7" spans="2:18" ht="15.75" thickTop="1" x14ac:dyDescent="0.25"/>
    <row r="8" spans="2:18" ht="15.75" thickBot="1" x14ac:dyDescent="0.3"/>
    <row r="9" spans="2:18" ht="31.5" customHeight="1" thickBot="1" x14ac:dyDescent="0.3">
      <c r="B9" s="108" t="s">
        <v>4</v>
      </c>
      <c r="C9" s="109"/>
      <c r="D9" s="110"/>
      <c r="E9" s="5" t="s">
        <v>5</v>
      </c>
      <c r="F9" s="52" t="s">
        <v>78</v>
      </c>
      <c r="G9" s="77" t="s">
        <v>77</v>
      </c>
      <c r="H9" s="75"/>
      <c r="I9" s="75"/>
      <c r="J9" s="75"/>
    </row>
    <row r="10" spans="2:18" ht="20.25" customHeight="1" thickTop="1" thickBot="1" x14ac:dyDescent="0.3">
      <c r="B10" s="97" t="s">
        <v>7</v>
      </c>
      <c r="C10" s="98"/>
      <c r="D10" s="6">
        <v>76</v>
      </c>
      <c r="E10" s="6">
        <f>E6+50</f>
        <v>1250</v>
      </c>
      <c r="F10" s="63">
        <f>F6*2</f>
        <v>2</v>
      </c>
      <c r="G10" s="54">
        <f>F10/F6</f>
        <v>2</v>
      </c>
      <c r="H10" s="34"/>
      <c r="J10" s="10"/>
    </row>
    <row r="11" spans="2:18" ht="20.25" customHeight="1" thickBot="1" x14ac:dyDescent="0.3">
      <c r="B11" s="99" t="s">
        <v>8</v>
      </c>
      <c r="C11" s="100"/>
      <c r="D11" s="7">
        <v>205</v>
      </c>
      <c r="E11" s="7">
        <f>IF(D11=250,D6+(D10*2)-12,IF(D11=300,D6+(D10*2)-12,IF(D11=205,D6+(D10*2)-18,IF(D11=180,D6+(D10*2)-18))))</f>
        <v>2634</v>
      </c>
      <c r="F11" s="64">
        <f>F6</f>
        <v>1</v>
      </c>
      <c r="G11" s="54">
        <f>F6</f>
        <v>1</v>
      </c>
      <c r="H11" s="35"/>
      <c r="J11" s="10"/>
    </row>
    <row r="12" spans="2:18" ht="20.25" customHeight="1" thickBot="1" x14ac:dyDescent="0.3">
      <c r="B12" s="99" t="s">
        <v>9</v>
      </c>
      <c r="C12" s="100"/>
      <c r="D12" s="7">
        <v>54</v>
      </c>
      <c r="E12" s="7">
        <f>IF(D11=300,D6-150,IF(D11=250,D6-150,IF(D11=205,D6-100,IF(D11=180,D6-100))))</f>
        <v>2400</v>
      </c>
      <c r="F12" s="64">
        <f>F6</f>
        <v>1</v>
      </c>
      <c r="G12" s="54">
        <f>F12/F6</f>
        <v>1</v>
      </c>
      <c r="H12" s="34"/>
      <c r="J12" s="10"/>
      <c r="M12" t="str">
        <f>B6</f>
        <v>GG</v>
      </c>
      <c r="N12" t="s">
        <v>73</v>
      </c>
      <c r="O12">
        <f>D6</f>
        <v>2500</v>
      </c>
      <c r="P12">
        <f>E6</f>
        <v>1200</v>
      </c>
      <c r="Q12">
        <f>F6</f>
        <v>1</v>
      </c>
      <c r="R12" s="50">
        <f>J27</f>
        <v>0</v>
      </c>
    </row>
    <row r="13" spans="2:18" ht="20.25" customHeight="1" thickBot="1" x14ac:dyDescent="0.3">
      <c r="B13" s="99" t="s">
        <v>10</v>
      </c>
      <c r="C13" s="100"/>
      <c r="D13" s="7">
        <v>54</v>
      </c>
      <c r="E13" s="7">
        <f>IF(D10=95,D6-92,IF(D10=76,D6-92,IF(D10=80,D6-72,IF(D10=66,D6-72))))</f>
        <v>2408</v>
      </c>
      <c r="F13" s="64">
        <f>(E10/D13+1)*F6</f>
        <v>24.148148148148149</v>
      </c>
      <c r="G13" s="55">
        <f>ROUNDUP(F13/F6,0)</f>
        <v>25</v>
      </c>
      <c r="H13" s="34"/>
      <c r="J13" s="10"/>
    </row>
    <row r="14" spans="2:18" ht="20.25" customHeight="1" thickBot="1" x14ac:dyDescent="0.3">
      <c r="B14" s="99" t="s">
        <v>11</v>
      </c>
      <c r="C14" s="100"/>
      <c r="D14" s="7">
        <f>D13</f>
        <v>54</v>
      </c>
      <c r="E14" s="7">
        <f>E13</f>
        <v>2408</v>
      </c>
      <c r="F14" s="64">
        <f>F6</f>
        <v>1</v>
      </c>
      <c r="G14" s="54">
        <f>F14/F6</f>
        <v>1</v>
      </c>
      <c r="H14" s="34"/>
      <c r="J14" s="10"/>
    </row>
    <row r="15" spans="2:18" ht="20.25" hidden="1" customHeight="1" thickBot="1" x14ac:dyDescent="0.3">
      <c r="B15" s="39"/>
      <c r="C15" s="40"/>
      <c r="D15" s="7"/>
      <c r="E15" s="7"/>
      <c r="F15" s="64"/>
      <c r="G15" s="54">
        <f>F15/F6</f>
        <v>0</v>
      </c>
      <c r="H15" s="34"/>
      <c r="J15" s="10"/>
    </row>
    <row r="16" spans="2:18" ht="20.25" customHeight="1" thickBot="1" x14ac:dyDescent="0.3">
      <c r="B16" s="99" t="s">
        <v>12</v>
      </c>
      <c r="C16" s="100"/>
      <c r="D16" s="7">
        <f>D11</f>
        <v>205</v>
      </c>
      <c r="E16" s="7"/>
      <c r="F16" s="64">
        <f>F6</f>
        <v>1</v>
      </c>
      <c r="G16" s="54">
        <f>F16/F6</f>
        <v>1</v>
      </c>
      <c r="H16" s="34"/>
      <c r="J16" s="10"/>
    </row>
    <row r="17" spans="2:12" ht="20.25" customHeight="1" thickBot="1" x14ac:dyDescent="0.3">
      <c r="B17" s="99" t="s">
        <v>13</v>
      </c>
      <c r="C17" s="100"/>
      <c r="D17" s="7">
        <f>D11</f>
        <v>205</v>
      </c>
      <c r="E17" s="7"/>
      <c r="F17" s="64">
        <f>F6</f>
        <v>1</v>
      </c>
      <c r="G17" s="54">
        <f>F17/F6</f>
        <v>1</v>
      </c>
      <c r="H17" s="34"/>
      <c r="J17" s="10"/>
    </row>
    <row r="18" spans="2:12" ht="20.25" customHeight="1" thickBot="1" x14ac:dyDescent="0.3">
      <c r="B18" s="99" t="s">
        <v>14</v>
      </c>
      <c r="C18" s="100"/>
      <c r="D18" s="12" t="str">
        <f>base!B26</f>
        <v>1/11éme</v>
      </c>
      <c r="E18" s="7"/>
      <c r="F18" s="64">
        <f>F6</f>
        <v>1</v>
      </c>
      <c r="G18" s="54">
        <f>F18/F6</f>
        <v>1</v>
      </c>
      <c r="H18" s="34"/>
      <c r="J18" s="10"/>
    </row>
    <row r="19" spans="2:12" ht="20.25" customHeight="1" thickBot="1" x14ac:dyDescent="0.3">
      <c r="B19" s="99" t="s">
        <v>15</v>
      </c>
      <c r="C19" s="100"/>
      <c r="D19" s="7">
        <f>D12</f>
        <v>54</v>
      </c>
      <c r="E19" s="7"/>
      <c r="F19" s="64">
        <f>F6</f>
        <v>1</v>
      </c>
      <c r="G19" s="54">
        <f>F19/F6</f>
        <v>1</v>
      </c>
      <c r="H19" s="34"/>
      <c r="J19" s="10"/>
    </row>
    <row r="20" spans="2:12" ht="20.25" customHeight="1" thickBot="1" x14ac:dyDescent="0.3">
      <c r="B20" s="99" t="s">
        <v>16</v>
      </c>
      <c r="C20" s="100"/>
      <c r="D20" s="7">
        <f>D10</f>
        <v>76</v>
      </c>
      <c r="E20" s="7"/>
      <c r="F20" s="64">
        <f>F6</f>
        <v>1</v>
      </c>
      <c r="G20" s="54">
        <f>F20/F6</f>
        <v>1</v>
      </c>
      <c r="H20" s="34"/>
      <c r="J20" s="10"/>
    </row>
    <row r="21" spans="2:12" ht="20.25" customHeight="1" thickBot="1" x14ac:dyDescent="0.3">
      <c r="B21" s="99" t="s">
        <v>17</v>
      </c>
      <c r="C21" s="100"/>
      <c r="D21" s="7"/>
      <c r="E21" s="7"/>
      <c r="F21" s="64">
        <f>F6</f>
        <v>1</v>
      </c>
      <c r="G21" s="54">
        <f>+IF(B27="MOTEUR",0,1)</f>
        <v>1</v>
      </c>
      <c r="H21" s="34"/>
      <c r="J21" s="10"/>
    </row>
    <row r="22" spans="2:12" ht="18.75" customHeight="1" thickBot="1" x14ac:dyDescent="0.3">
      <c r="B22" s="99" t="s">
        <v>18</v>
      </c>
      <c r="C22" s="100"/>
      <c r="D22" s="7">
        <f>D13</f>
        <v>54</v>
      </c>
      <c r="E22" s="7"/>
      <c r="F22" s="64">
        <f>G22*F6</f>
        <v>5</v>
      </c>
      <c r="G22" s="55">
        <f>ROUNDUP((D6/500),0)</f>
        <v>5</v>
      </c>
      <c r="H22" s="34"/>
      <c r="J22" s="10"/>
    </row>
    <row r="23" spans="2:12" ht="20.25" customHeight="1" thickBot="1" x14ac:dyDescent="0.3">
      <c r="B23" s="99" t="s">
        <v>19</v>
      </c>
      <c r="C23" s="100"/>
      <c r="D23" s="7">
        <f>D12</f>
        <v>54</v>
      </c>
      <c r="E23" s="7"/>
      <c r="F23" s="64">
        <f>F6</f>
        <v>1</v>
      </c>
      <c r="G23" s="54">
        <f>F23/F6</f>
        <v>1</v>
      </c>
      <c r="H23" s="34"/>
      <c r="J23" s="10"/>
    </row>
    <row r="24" spans="2:12" ht="20.25" customHeight="1" thickBot="1" x14ac:dyDescent="0.3">
      <c r="B24" s="99" t="str">
        <f>IF(D11=250,"PLAQUE  SUPPORT GOUPILLE",IF(D11=300,"PLAQUE  SUPPORT GOUPILLE",IF(D11=205,"ROULEMENT A BILLES",IF(D11=180,"ROULEMENT A BILLES"))))</f>
        <v>ROULEMENT A BILLES</v>
      </c>
      <c r="C24" s="100"/>
      <c r="D24" s="22" t="str">
        <f>IF(D11=250,250,IF(D11=300,300,IF(D11=180,"diam 22",IF(D11=205,"diam 22"))))</f>
        <v>diam 22</v>
      </c>
      <c r="E24" s="7"/>
      <c r="F24" s="64">
        <f>F6</f>
        <v>1</v>
      </c>
      <c r="G24" s="54">
        <f>F24/F6</f>
        <v>1</v>
      </c>
      <c r="H24" s="34"/>
      <c r="J24" s="10"/>
      <c r="L24" s="45"/>
    </row>
    <row r="25" spans="2:12" ht="20.25" customHeight="1" thickBot="1" x14ac:dyDescent="0.3">
      <c r="B25" s="99" t="s">
        <v>20</v>
      </c>
      <c r="C25" s="100"/>
      <c r="D25" s="7">
        <f>1</f>
        <v>1</v>
      </c>
      <c r="E25" s="7"/>
      <c r="F25" s="64">
        <f>F6</f>
        <v>1</v>
      </c>
      <c r="G25" s="54">
        <f>F25/F6</f>
        <v>1</v>
      </c>
      <c r="H25" s="34"/>
      <c r="J25" s="10"/>
      <c r="L25" s="47"/>
    </row>
    <row r="26" spans="2:12" ht="20.25" customHeight="1" thickBot="1" x14ac:dyDescent="0.3">
      <c r="B26" s="111" t="s">
        <v>21</v>
      </c>
      <c r="C26" s="112"/>
      <c r="D26" s="14" t="s">
        <v>85</v>
      </c>
      <c r="E26" s="8"/>
      <c r="F26" s="66">
        <f>F6</f>
        <v>1</v>
      </c>
      <c r="G26" s="54">
        <f>F26/F6</f>
        <v>1</v>
      </c>
      <c r="H26" s="34"/>
      <c r="J26" s="10"/>
      <c r="L26" s="45"/>
    </row>
    <row r="27" spans="2:12" ht="19.5" thickTop="1" x14ac:dyDescent="0.25">
      <c r="D27" t="s">
        <v>83</v>
      </c>
      <c r="H27" s="92"/>
      <c r="I27" s="92"/>
      <c r="J27" s="10"/>
      <c r="L27" s="47"/>
    </row>
    <row r="28" spans="2:12" x14ac:dyDescent="0.25">
      <c r="D28">
        <v>50</v>
      </c>
    </row>
    <row r="29" spans="2:12" x14ac:dyDescent="0.25">
      <c r="J29" s="10"/>
    </row>
    <row r="52" spans="3:8" ht="15.75" thickBot="1" x14ac:dyDescent="0.3"/>
    <row r="53" spans="3:8" ht="15.75" thickBot="1" x14ac:dyDescent="0.3">
      <c r="C53" s="83"/>
      <c r="D53" s="84"/>
      <c r="E53" s="13" t="s">
        <v>57</v>
      </c>
      <c r="F53" s="13" t="s">
        <v>59</v>
      </c>
      <c r="G53" s="13" t="s">
        <v>87</v>
      </c>
      <c r="H53" s="13" t="s">
        <v>88</v>
      </c>
    </row>
    <row r="54" spans="3:8" ht="15.75" thickBot="1" x14ac:dyDescent="0.3">
      <c r="C54" s="113" t="s">
        <v>95</v>
      </c>
      <c r="D54" s="114"/>
      <c r="E54" s="80">
        <f>IF(D10=66,base!E11,IF(D10=76,base!E12,IF(D10=80,base!E13,IF(D10=95,base!E14))))</f>
        <v>7.5741379310344827</v>
      </c>
      <c r="F54" s="80">
        <f>+E10*F10/1000</f>
        <v>2.5</v>
      </c>
      <c r="G54" s="81">
        <f>H54/F6</f>
        <v>18.935344827586206</v>
      </c>
      <c r="H54" s="81">
        <f>+E54*F54*F6</f>
        <v>18.935344827586206</v>
      </c>
    </row>
    <row r="55" spans="3:8" ht="15.75" thickBot="1" x14ac:dyDescent="0.3">
      <c r="C55" s="13" t="s">
        <v>96</v>
      </c>
      <c r="D55" s="22"/>
      <c r="E55" s="80">
        <f>IF(D11=205,base!E8,IF(D11=180,base!E7,IF(D11=250,base!E9,IF(D11=300,base!E10))))</f>
        <v>18.991379310344829</v>
      </c>
      <c r="F55" s="80">
        <f>E11/100</f>
        <v>26.34</v>
      </c>
      <c r="G55" s="81">
        <f>H55/F6</f>
        <v>500.23293103448282</v>
      </c>
      <c r="H55" s="81">
        <f>E55*F55*F6</f>
        <v>500.23293103448282</v>
      </c>
    </row>
    <row r="56" spans="3:8" ht="15.75" thickBot="1" x14ac:dyDescent="0.3">
      <c r="C56" s="113" t="s">
        <v>9</v>
      </c>
      <c r="D56" s="114"/>
      <c r="E56" s="80">
        <f>IF(D12=54,base!E15,IF(D12=64,base!E16,IF(D12=80,base!E17)))</f>
        <v>0</v>
      </c>
      <c r="F56" s="80">
        <f>E12/1000</f>
        <v>2.4</v>
      </c>
      <c r="G56" s="81">
        <f>H56/F6</f>
        <v>0</v>
      </c>
      <c r="H56" s="81">
        <f>E56*F56*F6</f>
        <v>0</v>
      </c>
    </row>
    <row r="57" spans="3:8" ht="15.75" thickBot="1" x14ac:dyDescent="0.3">
      <c r="C57" s="113" t="s">
        <v>10</v>
      </c>
      <c r="D57" s="114"/>
      <c r="E57" s="80">
        <f>IF(D13=45,base!E3,base!E4)</f>
        <v>3.1637931034482762</v>
      </c>
      <c r="F57" s="80">
        <f>E13*G13/1000</f>
        <v>60.2</v>
      </c>
      <c r="G57" s="81">
        <f>H57/F6</f>
        <v>60.2</v>
      </c>
      <c r="H57" s="81">
        <f>F57*F6</f>
        <v>60.2</v>
      </c>
    </row>
    <row r="58" spans="3:8" ht="15.75" thickBot="1" x14ac:dyDescent="0.3">
      <c r="C58" s="113" t="s">
        <v>11</v>
      </c>
      <c r="D58" s="114"/>
      <c r="E58" s="80">
        <f>IF(D14=45,base!E5,base!E6)</f>
        <v>3.7033333333333331</v>
      </c>
      <c r="F58" s="80">
        <f>E14/1000</f>
        <v>2.4079999999999999</v>
      </c>
      <c r="G58" s="81">
        <f>H58/F6</f>
        <v>8.9176266666666653</v>
      </c>
      <c r="H58" s="81">
        <f>F58*E58*F6</f>
        <v>8.9176266666666653</v>
      </c>
    </row>
    <row r="59" spans="3:8" ht="15.75" thickBot="1" x14ac:dyDescent="0.3">
      <c r="C59" s="113" t="s">
        <v>12</v>
      </c>
      <c r="D59" s="114"/>
      <c r="E59" s="80">
        <f>IF(D16=205,base!E19,IF(D16=180,base!E18,IF(D16=250,base!E20,IF(D16=300,base!E21))))</f>
        <v>13.72</v>
      </c>
      <c r="F59" s="80"/>
      <c r="G59" s="81">
        <f>E59</f>
        <v>13.72</v>
      </c>
      <c r="H59" s="81">
        <f>G59*F6</f>
        <v>13.72</v>
      </c>
    </row>
    <row r="60" spans="3:8" ht="15.75" thickBot="1" x14ac:dyDescent="0.3">
      <c r="C60" s="13" t="s">
        <v>13</v>
      </c>
      <c r="D60" s="22"/>
      <c r="E60" s="80">
        <f>IF(D17=205,base!E23,IF(D17=180,base!E22,IF(D17=250,base!E24,IF(D17=300,base!E25))))</f>
        <v>3.14</v>
      </c>
      <c r="F60" s="80"/>
      <c r="G60" s="81">
        <f>E60</f>
        <v>3.14</v>
      </c>
      <c r="H60" s="81">
        <f>G60*F6</f>
        <v>3.14</v>
      </c>
    </row>
    <row r="61" spans="3:8" ht="15.75" thickBot="1" x14ac:dyDescent="0.3">
      <c r="C61" s="113" t="s">
        <v>14</v>
      </c>
      <c r="D61" s="114"/>
      <c r="E61" s="80">
        <f>base!E26</f>
        <v>1</v>
      </c>
      <c r="F61" s="80"/>
      <c r="G61" s="81">
        <f>G18*E61</f>
        <v>1</v>
      </c>
      <c r="H61" s="81">
        <f>G61*F6</f>
        <v>1</v>
      </c>
    </row>
    <row r="62" spans="3:8" ht="15.75" thickBot="1" x14ac:dyDescent="0.3">
      <c r="C62" s="113" t="s">
        <v>15</v>
      </c>
      <c r="D62" s="114"/>
      <c r="E62" s="80">
        <f>base!E27</f>
        <v>2</v>
      </c>
      <c r="F62" s="80"/>
      <c r="G62" s="81">
        <f>G19*E62</f>
        <v>2</v>
      </c>
      <c r="H62" s="81">
        <f>G62*F6</f>
        <v>2</v>
      </c>
    </row>
    <row r="63" spans="3:8" ht="15.75" thickBot="1" x14ac:dyDescent="0.3">
      <c r="C63" s="113" t="s">
        <v>61</v>
      </c>
      <c r="D63" s="114"/>
      <c r="E63" s="80">
        <f>IF(D20=66,base!E28,IF(D20=76,base!E29,IF(D20=80,base!E30,IF(D20=95,base!E31))))</f>
        <v>5.85</v>
      </c>
      <c r="F63" s="80"/>
      <c r="G63" s="81">
        <f>E63</f>
        <v>5.85</v>
      </c>
      <c r="H63" s="81">
        <f>G63*F6</f>
        <v>5.85</v>
      </c>
    </row>
    <row r="64" spans="3:8" ht="15.75" thickBot="1" x14ac:dyDescent="0.3">
      <c r="C64" s="113" t="s">
        <v>17</v>
      </c>
      <c r="D64" s="114"/>
      <c r="E64" s="80">
        <f>base!E32</f>
        <v>3</v>
      </c>
      <c r="F64" s="80"/>
      <c r="G64" s="81">
        <f>G21*E64</f>
        <v>3</v>
      </c>
      <c r="H64" s="81">
        <f>G64*F6</f>
        <v>3</v>
      </c>
    </row>
    <row r="65" spans="3:8" ht="15.75" thickBot="1" x14ac:dyDescent="0.3">
      <c r="C65" s="113" t="s">
        <v>18</v>
      </c>
      <c r="D65" s="114"/>
      <c r="E65" s="80">
        <f>IF(D22=45,base!E33,base!E34)</f>
        <v>0.9</v>
      </c>
      <c r="F65" s="80"/>
      <c r="G65" s="81">
        <f>E65*G22</f>
        <v>4.5</v>
      </c>
      <c r="H65" s="81">
        <f>G65*F6</f>
        <v>4.5</v>
      </c>
    </row>
    <row r="66" spans="3:8" ht="15.75" thickBot="1" x14ac:dyDescent="0.3">
      <c r="C66" s="13" t="s">
        <v>19</v>
      </c>
      <c r="D66" s="22"/>
      <c r="E66" s="80">
        <f>IF(D23=54,base!E35,IF(D23=64,base!E36,IF(D23=80,base!E37)))</f>
        <v>0</v>
      </c>
      <c r="F66" s="80"/>
      <c r="G66" s="81">
        <f>E66</f>
        <v>0</v>
      </c>
      <c r="H66" s="81">
        <f>G66*F6</f>
        <v>0</v>
      </c>
    </row>
    <row r="67" spans="3:8" ht="15.75" thickBot="1" x14ac:dyDescent="0.3">
      <c r="C67" s="13" t="str">
        <f>B24</f>
        <v>ROULEMENT A BILLES</v>
      </c>
      <c r="D67" s="22"/>
      <c r="E67" s="80">
        <f>IF(D11=180,base!E38,IF(D11=205,base!E38,IF(D11=250,base!E39,IF(D11=300,base!E39))))</f>
        <v>0</v>
      </c>
      <c r="F67" s="80"/>
      <c r="G67" s="81">
        <f>E67</f>
        <v>0</v>
      </c>
      <c r="H67" s="81">
        <f>G67*F6</f>
        <v>0</v>
      </c>
    </row>
    <row r="68" spans="3:8" ht="15.75" thickBot="1" x14ac:dyDescent="0.3">
      <c r="C68" s="113" t="s">
        <v>20</v>
      </c>
      <c r="D68" s="114"/>
      <c r="E68" s="80">
        <f>base!E40</f>
        <v>11.13</v>
      </c>
      <c r="F68" s="80"/>
      <c r="G68" s="81">
        <f>E68</f>
        <v>11.13</v>
      </c>
      <c r="H68" s="81">
        <f>G68*F6</f>
        <v>11.13</v>
      </c>
    </row>
    <row r="69" spans="3:8" ht="15.75" thickBot="1" x14ac:dyDescent="0.3">
      <c r="C69" s="113" t="s">
        <v>21</v>
      </c>
      <c r="D69" s="114"/>
      <c r="E69" s="80">
        <f>base!E41</f>
        <v>14.67</v>
      </c>
      <c r="F69" s="80"/>
      <c r="G69" s="81">
        <f>E69</f>
        <v>14.67</v>
      </c>
      <c r="H69" s="81">
        <f>G69*F6</f>
        <v>14.67</v>
      </c>
    </row>
    <row r="70" spans="3:8" x14ac:dyDescent="0.25">
      <c r="D70" s="26"/>
      <c r="E70" s="10"/>
      <c r="F70" s="10" t="s">
        <v>97</v>
      </c>
      <c r="G70" s="50">
        <f>SUM(G54:G69)</f>
        <v>647.29590252873572</v>
      </c>
      <c r="H70" s="50">
        <f>SUM(H54:H69)</f>
        <v>647.29590252873572</v>
      </c>
    </row>
  </sheetData>
  <mergeCells count="34">
    <mergeCell ref="B23:C23"/>
    <mergeCell ref="B18:C18"/>
    <mergeCell ref="B19:C19"/>
    <mergeCell ref="B20:C20"/>
    <mergeCell ref="B21:C21"/>
    <mergeCell ref="B22:C22"/>
    <mergeCell ref="H27:I27"/>
    <mergeCell ref="B17:C17"/>
    <mergeCell ref="C2:E2"/>
    <mergeCell ref="C3:E3"/>
    <mergeCell ref="B5:C5"/>
    <mergeCell ref="B6:C6"/>
    <mergeCell ref="B9:D9"/>
    <mergeCell ref="B10:C10"/>
    <mergeCell ref="B11:C11"/>
    <mergeCell ref="B12:C12"/>
    <mergeCell ref="B13:C13"/>
    <mergeCell ref="B14:C14"/>
    <mergeCell ref="B16:C16"/>
    <mergeCell ref="B24:C24"/>
    <mergeCell ref="B25:C25"/>
    <mergeCell ref="B26:C26"/>
    <mergeCell ref="C54:D54"/>
    <mergeCell ref="C56:D56"/>
    <mergeCell ref="C57:D57"/>
    <mergeCell ref="C58:D58"/>
    <mergeCell ref="C59:D59"/>
    <mergeCell ref="C68:D68"/>
    <mergeCell ref="C69:D69"/>
    <mergeCell ref="C61:D61"/>
    <mergeCell ref="C62:D62"/>
    <mergeCell ref="C63:D63"/>
    <mergeCell ref="C64:D64"/>
    <mergeCell ref="C65:D65"/>
  </mergeCells>
  <dataValidations disablePrompts="1" count="1">
    <dataValidation type="whole" allowBlank="1" showInputMessage="1" showErrorMessage="1" sqref="D6" xr:uid="{00000000-0002-0000-0600-000000000000}">
      <formula1>100</formula1>
      <formula2>3500</formula2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er">
                <anchor moveWithCells="1">
                  <from>
                    <xdr:col>6</xdr:col>
                    <xdr:colOff>895350</xdr:colOff>
                    <xdr:row>1</xdr:row>
                    <xdr:rowOff>19050</xdr:rowOff>
                  </from>
                  <to>
                    <xdr:col>8</xdr:col>
                    <xdr:colOff>733425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macro8">
                <anchor moveWithCells="1" sizeWithCells="1">
                  <from>
                    <xdr:col>14</xdr:col>
                    <xdr:colOff>9525</xdr:colOff>
                    <xdr:row>13</xdr:row>
                    <xdr:rowOff>38100</xdr:rowOff>
                  </from>
                  <to>
                    <xdr:col>16</xdr:col>
                    <xdr:colOff>733425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2:R72"/>
  <sheetViews>
    <sheetView zoomScale="75" zoomScaleNormal="75" workbookViewId="0">
      <selection activeCell="D4" sqref="D4"/>
    </sheetView>
  </sheetViews>
  <sheetFormatPr baseColWidth="10" defaultRowHeight="15" x14ac:dyDescent="0.25"/>
  <cols>
    <col min="1" max="1" width="6.28515625" customWidth="1"/>
    <col min="3" max="3" width="18.85546875" customWidth="1"/>
    <col min="4" max="4" width="15.28515625" customWidth="1"/>
    <col min="5" max="5" width="18" customWidth="1"/>
    <col min="6" max="6" width="15.140625" customWidth="1"/>
    <col min="7" max="7" width="13.5703125" customWidth="1"/>
    <col min="12" max="12" width="25" customWidth="1"/>
    <col min="14" max="14" width="16.42578125" customWidth="1"/>
    <col min="17" max="17" width="5.85546875" customWidth="1"/>
  </cols>
  <sheetData>
    <row r="2" spans="2:18" ht="21" x14ac:dyDescent="0.25">
      <c r="D2" s="9" t="s">
        <v>46</v>
      </c>
    </row>
    <row r="3" spans="2:18" ht="18.75" x14ac:dyDescent="0.25">
      <c r="C3" s="107" t="s">
        <v>51</v>
      </c>
      <c r="D3" s="107"/>
      <c r="E3" s="107"/>
    </row>
    <row r="4" spans="2:18" ht="15.75" thickBot="1" x14ac:dyDescent="0.3">
      <c r="D4" s="138">
        <v>60</v>
      </c>
    </row>
    <row r="5" spans="2:18" ht="20.25" thickTop="1" thickBot="1" x14ac:dyDescent="0.3">
      <c r="B5" s="93" t="s">
        <v>0</v>
      </c>
      <c r="C5" s="96"/>
      <c r="D5" s="2" t="s">
        <v>1</v>
      </c>
      <c r="E5" s="1" t="s">
        <v>2</v>
      </c>
      <c r="F5" s="1" t="s">
        <v>3</v>
      </c>
      <c r="G5" s="15"/>
    </row>
    <row r="6" spans="2:18" ht="20.25" thickTop="1" thickBot="1" x14ac:dyDescent="0.3">
      <c r="B6" s="95" t="s">
        <v>84</v>
      </c>
      <c r="C6" s="96"/>
      <c r="D6" s="3">
        <v>1500</v>
      </c>
      <c r="E6" s="3">
        <v>1500</v>
      </c>
      <c r="F6" s="3">
        <v>8</v>
      </c>
      <c r="G6" s="17"/>
      <c r="H6" s="44" t="s">
        <v>62</v>
      </c>
    </row>
    <row r="7" spans="2:18" ht="15.75" thickTop="1" x14ac:dyDescent="0.25"/>
    <row r="8" spans="2:18" ht="15.75" thickBot="1" x14ac:dyDescent="0.3"/>
    <row r="9" spans="2:18" ht="30.75" customHeight="1" thickTop="1" thickBot="1" x14ac:dyDescent="0.3">
      <c r="B9" s="130" t="s">
        <v>4</v>
      </c>
      <c r="C9" s="131"/>
      <c r="D9" s="132"/>
      <c r="E9" s="62" t="s">
        <v>5</v>
      </c>
      <c r="F9" s="57" t="s">
        <v>78</v>
      </c>
      <c r="G9" s="85" t="s">
        <v>77</v>
      </c>
      <c r="H9" s="75"/>
      <c r="I9" s="75"/>
      <c r="J9" s="75"/>
    </row>
    <row r="10" spans="2:18" ht="20.25" customHeight="1" thickTop="1" thickBot="1" x14ac:dyDescent="0.3">
      <c r="B10" s="116" t="s">
        <v>7</v>
      </c>
      <c r="C10" s="116"/>
      <c r="D10" s="18">
        <v>80</v>
      </c>
      <c r="E10" s="19">
        <f>E6+50+D15</f>
        <v>1630</v>
      </c>
      <c r="F10" s="58">
        <f>F6*2</f>
        <v>16</v>
      </c>
      <c r="G10" s="54">
        <f>F10/F6</f>
        <v>2</v>
      </c>
      <c r="H10" s="34"/>
      <c r="I10" s="10"/>
      <c r="J10" s="10"/>
    </row>
    <row r="11" spans="2:18" ht="20.25" customHeight="1" thickTop="1" thickBot="1" x14ac:dyDescent="0.3">
      <c r="B11" s="116" t="s">
        <v>8</v>
      </c>
      <c r="C11" s="116"/>
      <c r="D11" s="18">
        <v>250</v>
      </c>
      <c r="E11" s="19">
        <f>IF(D11=250,D6+(D10*2)-12,IF(D11=300,D6+(D10*2)-12,IF(D11=205,D6+(D10*2)-18,IF(D11=180,D6+(D10*2)-18))))</f>
        <v>1648</v>
      </c>
      <c r="F11" s="58">
        <f>F6</f>
        <v>8</v>
      </c>
      <c r="G11" s="54">
        <f>F11/F6</f>
        <v>1</v>
      </c>
      <c r="H11" s="35"/>
      <c r="I11" s="10"/>
      <c r="J11" s="10"/>
    </row>
    <row r="12" spans="2:18" ht="20.25" customHeight="1" thickTop="1" thickBot="1" x14ac:dyDescent="0.3">
      <c r="B12" s="116" t="s">
        <v>9</v>
      </c>
      <c r="C12" s="116"/>
      <c r="D12" s="18">
        <v>80</v>
      </c>
      <c r="E12" s="19">
        <f>IF(D11=300,D6-150,IF(D11=250,D6-150,IF(D11=205,D6-100,IF(D11=180,D6-100))))</f>
        <v>1350</v>
      </c>
      <c r="F12" s="58">
        <f>F6</f>
        <v>8</v>
      </c>
      <c r="G12" s="54">
        <f>F12/F6</f>
        <v>1</v>
      </c>
      <c r="H12" s="34"/>
      <c r="I12" s="10"/>
      <c r="J12" s="10"/>
    </row>
    <row r="13" spans="2:18" ht="20.25" customHeight="1" thickTop="1" thickBot="1" x14ac:dyDescent="0.3">
      <c r="B13" s="116" t="s">
        <v>10</v>
      </c>
      <c r="C13" s="116"/>
      <c r="D13" s="18">
        <v>54</v>
      </c>
      <c r="E13" s="19">
        <f>IF(D10=95,D6-92,IF(D10=76,D6-92,IF(D10=80,D6-72,IF(D10=66,D6-72))))</f>
        <v>1428</v>
      </c>
      <c r="F13" s="59">
        <f>(E6/D13+1)*F6</f>
        <v>230.22222222222223</v>
      </c>
      <c r="G13" s="55">
        <f>ROUNDUP(F13/F6,0)</f>
        <v>29</v>
      </c>
      <c r="H13" s="34"/>
      <c r="I13" s="10"/>
      <c r="J13" s="10"/>
      <c r="M13" t="str">
        <f>B6</f>
        <v>HH</v>
      </c>
      <c r="N13" t="s">
        <v>74</v>
      </c>
      <c r="O13">
        <f>D6</f>
        <v>1500</v>
      </c>
      <c r="P13">
        <f>E6</f>
        <v>1500</v>
      </c>
      <c r="Q13">
        <f>F6</f>
        <v>8</v>
      </c>
      <c r="R13" s="50">
        <f>J27</f>
        <v>0</v>
      </c>
    </row>
    <row r="14" spans="2:18" ht="20.25" customHeight="1" thickTop="1" thickBot="1" x14ac:dyDescent="0.3">
      <c r="B14" s="116" t="s">
        <v>11</v>
      </c>
      <c r="C14" s="116"/>
      <c r="D14" s="18">
        <f>D13</f>
        <v>54</v>
      </c>
      <c r="E14" s="19">
        <f>E13</f>
        <v>1428</v>
      </c>
      <c r="F14" s="58">
        <f>F6</f>
        <v>8</v>
      </c>
      <c r="G14" s="54">
        <f>F14/F6</f>
        <v>1</v>
      </c>
      <c r="H14" s="34"/>
      <c r="I14" s="10"/>
      <c r="J14" s="10"/>
    </row>
    <row r="15" spans="2:18" ht="20.25" customHeight="1" thickTop="1" thickBot="1" x14ac:dyDescent="0.3">
      <c r="B15" s="116" t="s">
        <v>43</v>
      </c>
      <c r="C15" s="116"/>
      <c r="D15" s="18">
        <f>D10</f>
        <v>80</v>
      </c>
      <c r="E15" s="19">
        <f>IF(D11=250,E11+6,E11+10)</f>
        <v>1654</v>
      </c>
      <c r="F15" s="58">
        <f>F6</f>
        <v>8</v>
      </c>
      <c r="G15" s="54">
        <f>F15/F6</f>
        <v>1</v>
      </c>
      <c r="H15" s="34"/>
      <c r="I15" s="10"/>
      <c r="J15" s="10"/>
    </row>
    <row r="16" spans="2:18" ht="20.25" customHeight="1" thickTop="1" thickBot="1" x14ac:dyDescent="0.3">
      <c r="B16" s="116" t="s">
        <v>12</v>
      </c>
      <c r="C16" s="116"/>
      <c r="D16" s="18">
        <f>D11</f>
        <v>250</v>
      </c>
      <c r="E16" s="19"/>
      <c r="F16" s="58">
        <f>F6</f>
        <v>8</v>
      </c>
      <c r="G16" s="54">
        <f>F16/F6</f>
        <v>1</v>
      </c>
      <c r="H16" s="34"/>
      <c r="I16" s="10"/>
      <c r="J16" s="10"/>
    </row>
    <row r="17" spans="2:12" ht="20.25" customHeight="1" thickTop="1" thickBot="1" x14ac:dyDescent="0.3">
      <c r="B17" s="116" t="s">
        <v>13</v>
      </c>
      <c r="C17" s="116"/>
      <c r="D17" s="18">
        <f>D11</f>
        <v>250</v>
      </c>
      <c r="E17" s="19"/>
      <c r="F17" s="58">
        <f>F6</f>
        <v>8</v>
      </c>
      <c r="G17" s="54">
        <f>F17/F6</f>
        <v>1</v>
      </c>
      <c r="H17" s="34"/>
      <c r="I17" s="10"/>
      <c r="J17" s="10"/>
    </row>
    <row r="18" spans="2:12" ht="20.25" customHeight="1" thickTop="1" thickBot="1" x14ac:dyDescent="0.3">
      <c r="B18" s="116" t="s">
        <v>14</v>
      </c>
      <c r="C18" s="116"/>
      <c r="D18" s="20" t="str">
        <f>base!B26</f>
        <v>1/11éme</v>
      </c>
      <c r="E18" s="19"/>
      <c r="F18" s="58">
        <f>F6</f>
        <v>8</v>
      </c>
      <c r="G18" s="54">
        <f>F18/F6</f>
        <v>1</v>
      </c>
      <c r="H18" s="34"/>
      <c r="I18" s="10"/>
      <c r="J18" s="10"/>
    </row>
    <row r="19" spans="2:12" ht="20.25" customHeight="1" thickTop="1" thickBot="1" x14ac:dyDescent="0.3">
      <c r="B19" s="116" t="s">
        <v>15</v>
      </c>
      <c r="C19" s="116"/>
      <c r="D19" s="21">
        <f>D12</f>
        <v>80</v>
      </c>
      <c r="E19" s="19"/>
      <c r="F19" s="58">
        <f>F6</f>
        <v>8</v>
      </c>
      <c r="G19" s="54">
        <f>F19/F6</f>
        <v>1</v>
      </c>
      <c r="H19" s="34"/>
      <c r="I19" s="10"/>
      <c r="J19" s="10"/>
    </row>
    <row r="20" spans="2:12" ht="20.25" customHeight="1" thickTop="1" thickBot="1" x14ac:dyDescent="0.3">
      <c r="B20" s="116" t="s">
        <v>16</v>
      </c>
      <c r="C20" s="116"/>
      <c r="D20" s="18">
        <f>D10</f>
        <v>80</v>
      </c>
      <c r="E20" s="19"/>
      <c r="F20" s="58">
        <f>F6</f>
        <v>8</v>
      </c>
      <c r="G20" s="54">
        <f>F20/F6</f>
        <v>1</v>
      </c>
      <c r="H20" s="34"/>
      <c r="I20" s="10"/>
      <c r="J20" s="10"/>
    </row>
    <row r="21" spans="2:12" ht="20.25" customHeight="1" thickTop="1" thickBot="1" x14ac:dyDescent="0.3">
      <c r="B21" s="116" t="s">
        <v>17</v>
      </c>
      <c r="C21" s="116"/>
      <c r="D21" s="18"/>
      <c r="E21" s="19"/>
      <c r="F21" s="58">
        <f>F6</f>
        <v>8</v>
      </c>
      <c r="G21" s="54">
        <f>+IF(B27="MOTEUR",0,1)</f>
        <v>1</v>
      </c>
      <c r="H21" s="34"/>
      <c r="I21" s="10"/>
      <c r="J21" s="10"/>
    </row>
    <row r="22" spans="2:12" ht="20.25" customHeight="1" thickTop="1" thickBot="1" x14ac:dyDescent="0.3">
      <c r="B22" s="116" t="s">
        <v>18</v>
      </c>
      <c r="C22" s="116"/>
      <c r="D22" s="18">
        <f>D13</f>
        <v>54</v>
      </c>
      <c r="E22" s="19"/>
      <c r="F22" s="59">
        <f>G22*F6</f>
        <v>24</v>
      </c>
      <c r="G22" s="54">
        <f>ROUNDUP((D6/500),0)</f>
        <v>3</v>
      </c>
      <c r="H22" s="34"/>
      <c r="I22" s="10"/>
      <c r="J22" s="10"/>
    </row>
    <row r="23" spans="2:12" ht="20.25" customHeight="1" thickTop="1" thickBot="1" x14ac:dyDescent="0.3">
      <c r="B23" s="116" t="s">
        <v>19</v>
      </c>
      <c r="C23" s="116"/>
      <c r="D23" s="18">
        <f>D12</f>
        <v>80</v>
      </c>
      <c r="E23" s="19"/>
      <c r="F23" s="58">
        <f>F6</f>
        <v>8</v>
      </c>
      <c r="G23" s="54">
        <f>F23/F6</f>
        <v>1</v>
      </c>
      <c r="H23" s="34"/>
      <c r="I23" s="10"/>
      <c r="J23" s="10"/>
    </row>
    <row r="24" spans="2:12" ht="17.25" customHeight="1" thickTop="1" thickBot="1" x14ac:dyDescent="0.3">
      <c r="B24" s="116" t="str">
        <f>IF(D11=250,"PLAQUE  SUPPORT GOUPILLE",IF(D11=300,"PLAQUE  SUPPORT GOUPILLE",IF(D11=205,"ROULEMENT A BILLES",IF(D11=180,"ROULEMENT A BILLES"))))</f>
        <v>PLAQUE  SUPPORT GOUPILLE</v>
      </c>
      <c r="C24" s="116"/>
      <c r="D24" s="18">
        <f>IF(D11=250,250,IF(D11=300,300,IF(D11=180,"diam 22",IF(D11=205,"diam 22"))))</f>
        <v>250</v>
      </c>
      <c r="E24" s="19"/>
      <c r="F24" s="58">
        <f>F6</f>
        <v>8</v>
      </c>
      <c r="G24" s="54">
        <f>F24/F6</f>
        <v>1</v>
      </c>
      <c r="H24" s="34"/>
      <c r="I24" s="10"/>
      <c r="J24" s="10"/>
      <c r="L24" s="45"/>
    </row>
    <row r="25" spans="2:12" ht="18.75" customHeight="1" thickTop="1" thickBot="1" x14ac:dyDescent="0.3">
      <c r="B25" s="116" t="s">
        <v>20</v>
      </c>
      <c r="C25" s="116"/>
      <c r="D25" s="18">
        <f>1</f>
        <v>1</v>
      </c>
      <c r="E25" s="19"/>
      <c r="F25" s="58">
        <f>F6</f>
        <v>8</v>
      </c>
      <c r="G25" s="54">
        <f>F25/F6</f>
        <v>1</v>
      </c>
      <c r="H25" s="34"/>
      <c r="I25" s="10"/>
      <c r="J25" s="10"/>
      <c r="L25" s="47"/>
    </row>
    <row r="26" spans="2:12" ht="20.25" customHeight="1" thickTop="1" thickBot="1" x14ac:dyDescent="0.3">
      <c r="B26" s="116" t="s">
        <v>48</v>
      </c>
      <c r="C26" s="116"/>
      <c r="D26" s="25" t="s">
        <v>22</v>
      </c>
      <c r="E26" s="19"/>
      <c r="F26" s="61">
        <f>F6</f>
        <v>8</v>
      </c>
      <c r="G26" s="54">
        <f>F26/F6</f>
        <v>1</v>
      </c>
      <c r="H26" s="34"/>
      <c r="I26" s="10"/>
      <c r="J26" s="10"/>
      <c r="L26" s="45"/>
    </row>
    <row r="27" spans="2:12" ht="19.5" thickTop="1" x14ac:dyDescent="0.25">
      <c r="D27" t="s">
        <v>83</v>
      </c>
      <c r="H27" s="92"/>
      <c r="I27" s="92"/>
      <c r="J27" s="10"/>
      <c r="L27" s="47"/>
    </row>
    <row r="29" spans="2:12" x14ac:dyDescent="0.25">
      <c r="J29" s="10"/>
    </row>
    <row r="35" spans="4:4" x14ac:dyDescent="0.25">
      <c r="D35">
        <v>30</v>
      </c>
    </row>
    <row r="52" spans="3:8" ht="15.75" thickBot="1" x14ac:dyDescent="0.3">
      <c r="C52" s="86"/>
      <c r="D52" s="86"/>
      <c r="E52" s="86"/>
      <c r="F52" s="86"/>
      <c r="G52" s="86"/>
      <c r="H52" s="86"/>
    </row>
    <row r="53" spans="3:8" ht="15.75" thickBot="1" x14ac:dyDescent="0.3">
      <c r="C53" s="83"/>
      <c r="D53" s="84"/>
      <c r="E53" s="13" t="s">
        <v>57</v>
      </c>
      <c r="F53" s="13" t="s">
        <v>59</v>
      </c>
      <c r="G53" s="13" t="s">
        <v>87</v>
      </c>
      <c r="H53" s="13" t="s">
        <v>88</v>
      </c>
    </row>
    <row r="54" spans="3:8" ht="15.75" thickBot="1" x14ac:dyDescent="0.3">
      <c r="C54" s="113" t="s">
        <v>95</v>
      </c>
      <c r="D54" s="114"/>
      <c r="E54" s="80">
        <f>IF(D10=66,base!E11,IF(D10=76,base!E12,IF(D10=80,base!E13,IF(D10=95,base!E14))))</f>
        <v>7.5775862068965525</v>
      </c>
      <c r="F54" s="80">
        <f>+E10*F10/1000</f>
        <v>26.08</v>
      </c>
      <c r="G54" s="81">
        <f>H54/F6</f>
        <v>197.62344827586207</v>
      </c>
      <c r="H54" s="81">
        <f>+E54*F54*F6</f>
        <v>1580.9875862068966</v>
      </c>
    </row>
    <row r="55" spans="3:8" ht="15.75" thickBot="1" x14ac:dyDescent="0.3">
      <c r="C55" s="13" t="s">
        <v>96</v>
      </c>
      <c r="D55" s="22"/>
      <c r="E55" s="80">
        <f>IF(D11=205,base!E8,IF(D11=180,base!E7,IF(D11=250,base!E9,IF(D11=300,base!E10))))</f>
        <v>24.501724137931038</v>
      </c>
      <c r="F55" s="80">
        <f>E11/100</f>
        <v>16.48</v>
      </c>
      <c r="G55" s="81">
        <f>H55/F6</f>
        <v>403.78841379310353</v>
      </c>
      <c r="H55" s="81">
        <f>E55*F55*F6</f>
        <v>3230.3073103448282</v>
      </c>
    </row>
    <row r="56" spans="3:8" ht="15.75" thickBot="1" x14ac:dyDescent="0.3">
      <c r="C56" s="113" t="s">
        <v>9</v>
      </c>
      <c r="D56" s="114"/>
      <c r="E56" s="80">
        <f>IF(D12=54,base!E15,IF(D12=64,base!E16,IF(D12=80,base!E17)))</f>
        <v>7.5528571428571425</v>
      </c>
      <c r="F56" s="80">
        <f>E12/1000</f>
        <v>1.35</v>
      </c>
      <c r="G56" s="81">
        <f>H56/F6</f>
        <v>10.196357142857144</v>
      </c>
      <c r="H56" s="81">
        <f>E56*F56*F6</f>
        <v>81.57085714285715</v>
      </c>
    </row>
    <row r="57" spans="3:8" ht="15.75" thickBot="1" x14ac:dyDescent="0.3">
      <c r="C57" s="113" t="s">
        <v>10</v>
      </c>
      <c r="D57" s="114"/>
      <c r="E57" s="80">
        <f>IF(D13=45,base!E3,base!E4)</f>
        <v>3.1637931034482762</v>
      </c>
      <c r="F57" s="80">
        <f>E13*G13/1000</f>
        <v>41.411999999999999</v>
      </c>
      <c r="G57" s="81">
        <f>H57/F6</f>
        <v>41.411999999999999</v>
      </c>
      <c r="H57" s="81">
        <f>F57*F6</f>
        <v>331.29599999999999</v>
      </c>
    </row>
    <row r="58" spans="3:8" ht="15.75" thickBot="1" x14ac:dyDescent="0.3">
      <c r="C58" s="113" t="s">
        <v>11</v>
      </c>
      <c r="D58" s="114"/>
      <c r="E58" s="80">
        <f>IF(D14=45,base!E5,base!E6)</f>
        <v>3.7033333333333331</v>
      </c>
      <c r="F58" s="80">
        <f>E14/1000</f>
        <v>1.4279999999999999</v>
      </c>
      <c r="G58" s="81">
        <f>H58/F6</f>
        <v>5.2883599999999991</v>
      </c>
      <c r="H58" s="81">
        <f>F58*E58*F6</f>
        <v>42.306879999999992</v>
      </c>
    </row>
    <row r="59" spans="3:8" ht="15.75" thickBot="1" x14ac:dyDescent="0.3">
      <c r="C59" s="113" t="s">
        <v>12</v>
      </c>
      <c r="D59" s="114"/>
      <c r="E59" s="80">
        <f>IF(D16=205,base!E19,IF(D16=180,base!E18,IF(D16=250,base!E20,IF(D16=300,base!E21))))</f>
        <v>34.69</v>
      </c>
      <c r="F59" s="80"/>
      <c r="G59" s="81">
        <f>E59</f>
        <v>34.69</v>
      </c>
      <c r="H59" s="81">
        <f>G59*F6</f>
        <v>277.52</v>
      </c>
    </row>
    <row r="60" spans="3:8" ht="15.75" thickBot="1" x14ac:dyDescent="0.3">
      <c r="C60" s="13" t="s">
        <v>13</v>
      </c>
      <c r="D60" s="22"/>
      <c r="E60" s="80">
        <f>IF(D17=205,base!E23,IF(D17=180,base!E22,IF(D17=250,base!E24,IF(D17=300,base!E25))))</f>
        <v>0</v>
      </c>
      <c r="F60" s="80"/>
      <c r="G60" s="81">
        <f>E60</f>
        <v>0</v>
      </c>
      <c r="H60" s="81">
        <f>G60*F6</f>
        <v>0</v>
      </c>
    </row>
    <row r="61" spans="3:8" ht="15.75" thickBot="1" x14ac:dyDescent="0.3">
      <c r="C61" s="113" t="s">
        <v>14</v>
      </c>
      <c r="D61" s="114"/>
      <c r="E61" s="80">
        <f>base!E26</f>
        <v>1</v>
      </c>
      <c r="F61" s="80"/>
      <c r="G61" s="81">
        <f>E61</f>
        <v>1</v>
      </c>
      <c r="H61" s="81">
        <f>G61*F6</f>
        <v>8</v>
      </c>
    </row>
    <row r="62" spans="3:8" ht="15.75" thickBot="1" x14ac:dyDescent="0.3">
      <c r="C62" s="113" t="s">
        <v>15</v>
      </c>
      <c r="D62" s="114"/>
      <c r="E62" s="80">
        <f>base!E26</f>
        <v>1</v>
      </c>
      <c r="F62" s="80"/>
      <c r="G62" s="81">
        <f>E62</f>
        <v>1</v>
      </c>
      <c r="H62" s="81">
        <f>E62*F6</f>
        <v>8</v>
      </c>
    </row>
    <row r="63" spans="3:8" ht="15.75" thickBot="1" x14ac:dyDescent="0.3">
      <c r="C63" s="113" t="s">
        <v>61</v>
      </c>
      <c r="D63" s="114"/>
      <c r="E63" s="80">
        <f>IF(D20=66,base!E28,IF(D20=76,base!E29,IF(D20=80,base!E30,IF(D20=95,base!E31))))</f>
        <v>0</v>
      </c>
      <c r="F63" s="80"/>
      <c r="G63" s="81">
        <f>E63</f>
        <v>0</v>
      </c>
      <c r="H63" s="81">
        <f>G63*F6</f>
        <v>0</v>
      </c>
    </row>
    <row r="64" spans="3:8" ht="15.75" thickBot="1" x14ac:dyDescent="0.3">
      <c r="C64" s="113" t="s">
        <v>17</v>
      </c>
      <c r="D64" s="114"/>
      <c r="E64" s="80">
        <f>base!E32</f>
        <v>3</v>
      </c>
      <c r="F64" s="80"/>
      <c r="G64" s="81">
        <f>G21*E64</f>
        <v>3</v>
      </c>
      <c r="H64" s="81">
        <f>G64*F6</f>
        <v>24</v>
      </c>
    </row>
    <row r="65" spans="3:8" ht="15.75" thickBot="1" x14ac:dyDescent="0.3">
      <c r="C65" s="113" t="s">
        <v>18</v>
      </c>
      <c r="D65" s="114"/>
      <c r="E65" s="80">
        <f>IF(D22=45,base!E33,base!E34)</f>
        <v>0.9</v>
      </c>
      <c r="F65" s="80"/>
      <c r="G65" s="81">
        <f>E65*G22</f>
        <v>2.7</v>
      </c>
      <c r="H65" s="81">
        <f>G65*F6</f>
        <v>21.6</v>
      </c>
    </row>
    <row r="66" spans="3:8" ht="15.75" thickBot="1" x14ac:dyDescent="0.3">
      <c r="C66" s="13" t="s">
        <v>19</v>
      </c>
      <c r="D66" s="22"/>
      <c r="E66" s="80">
        <f>IF(D23=54,base!E35,IF(D23=64,base!E36,IF(D23=80,base!E37)))</f>
        <v>0</v>
      </c>
      <c r="F66" s="80"/>
      <c r="G66" s="81">
        <f>E66</f>
        <v>0</v>
      </c>
      <c r="H66" s="81">
        <f>G66*F6</f>
        <v>0</v>
      </c>
    </row>
    <row r="67" spans="3:8" ht="15.75" thickBot="1" x14ac:dyDescent="0.3">
      <c r="C67" s="13" t="str">
        <f>B24</f>
        <v>PLAQUE  SUPPORT GOUPILLE</v>
      </c>
      <c r="D67" s="22"/>
      <c r="E67" s="80">
        <f>IF(D11=180,base!E38,IF(D11=205,base!E38,IF(D11=250,base!E39,IF(D11=300,base!E39))))</f>
        <v>4.87</v>
      </c>
      <c r="F67" s="80"/>
      <c r="G67" s="81">
        <f>E67</f>
        <v>4.87</v>
      </c>
      <c r="H67" s="81">
        <f>G67*F6</f>
        <v>38.96</v>
      </c>
    </row>
    <row r="68" spans="3:8" ht="15.75" thickBot="1" x14ac:dyDescent="0.3">
      <c r="C68" s="113" t="s">
        <v>20</v>
      </c>
      <c r="D68" s="114"/>
      <c r="E68" s="80">
        <f>base!E40</f>
        <v>11.13</v>
      </c>
      <c r="F68" s="80"/>
      <c r="G68" s="81">
        <f>E68</f>
        <v>11.13</v>
      </c>
      <c r="H68" s="81">
        <f>G68*F6</f>
        <v>89.04</v>
      </c>
    </row>
    <row r="69" spans="3:8" ht="15.75" thickBot="1" x14ac:dyDescent="0.3">
      <c r="C69" s="113" t="s">
        <v>21</v>
      </c>
      <c r="D69" s="114"/>
      <c r="E69" s="80">
        <f>base!E41</f>
        <v>14.67</v>
      </c>
      <c r="F69" s="80"/>
      <c r="G69" s="81">
        <f>E69</f>
        <v>14.67</v>
      </c>
      <c r="H69" s="81">
        <f>G69*F6</f>
        <v>117.36</v>
      </c>
    </row>
    <row r="70" spans="3:8" ht="15.75" thickBot="1" x14ac:dyDescent="0.3">
      <c r="C70" s="115" t="s">
        <v>43</v>
      </c>
      <c r="D70" s="115"/>
      <c r="E70" s="80">
        <f>base!E46</f>
        <v>54</v>
      </c>
      <c r="F70" s="80">
        <f>E15/1000</f>
        <v>1.6539999999999999</v>
      </c>
      <c r="G70" s="81">
        <f>F70*E70</f>
        <v>89.316000000000003</v>
      </c>
      <c r="H70" s="81">
        <f>G70*F6</f>
        <v>714.52800000000002</v>
      </c>
    </row>
    <row r="71" spans="3:8" x14ac:dyDescent="0.25">
      <c r="D71" s="26"/>
      <c r="E71" s="10"/>
      <c r="F71" s="10" t="s">
        <v>97</v>
      </c>
      <c r="G71" s="50">
        <f>SUM(G54:G70)</f>
        <v>820.68457921182278</v>
      </c>
      <c r="H71" s="50">
        <f>SUM(H54:H69)</f>
        <v>5850.948633694582</v>
      </c>
    </row>
    <row r="72" spans="3:8" x14ac:dyDescent="0.25">
      <c r="C72" s="86"/>
      <c r="D72" s="86"/>
      <c r="E72" s="86"/>
      <c r="F72" s="86"/>
      <c r="G72" s="86"/>
      <c r="H72" s="86"/>
    </row>
  </sheetData>
  <mergeCells count="35">
    <mergeCell ref="B24:C24"/>
    <mergeCell ref="B25:C25"/>
    <mergeCell ref="B26:C26"/>
    <mergeCell ref="B23:C23"/>
    <mergeCell ref="B18:C18"/>
    <mergeCell ref="B19:C19"/>
    <mergeCell ref="B20:C20"/>
    <mergeCell ref="B21:C21"/>
    <mergeCell ref="B22:C22"/>
    <mergeCell ref="B17:C17"/>
    <mergeCell ref="C3:E3"/>
    <mergeCell ref="B5:C5"/>
    <mergeCell ref="B6:C6"/>
    <mergeCell ref="B9:D9"/>
    <mergeCell ref="B10:C10"/>
    <mergeCell ref="B11:C11"/>
    <mergeCell ref="B12:C12"/>
    <mergeCell ref="B13:C13"/>
    <mergeCell ref="B14:C14"/>
    <mergeCell ref="B15:C15"/>
    <mergeCell ref="B16:C16"/>
    <mergeCell ref="C54:D54"/>
    <mergeCell ref="C56:D56"/>
    <mergeCell ref="C57:D57"/>
    <mergeCell ref="C58:D58"/>
    <mergeCell ref="H27:I27"/>
    <mergeCell ref="C70:D70"/>
    <mergeCell ref="C59:D59"/>
    <mergeCell ref="C62:D62"/>
    <mergeCell ref="C63:D63"/>
    <mergeCell ref="C61:D61"/>
    <mergeCell ref="C64:D64"/>
    <mergeCell ref="C65:D65"/>
    <mergeCell ref="C68:D68"/>
    <mergeCell ref="C69:D69"/>
  </mergeCells>
  <pageMargins left="0.11811023622047245" right="0.11811023622047245" top="0" bottom="0.74803149606299213" header="0.31496062992125984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imprimer">
                <anchor moveWithCells="1">
                  <from>
                    <xdr:col>7</xdr:col>
                    <xdr:colOff>19050</xdr:colOff>
                    <xdr:row>1</xdr:row>
                    <xdr:rowOff>19050</xdr:rowOff>
                  </from>
                  <to>
                    <xdr:col>9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macro8">
                <anchor moveWithCells="1" sizeWithCells="1">
                  <from>
                    <xdr:col>14</xdr:col>
                    <xdr:colOff>9525</xdr:colOff>
                    <xdr:row>14</xdr:row>
                    <xdr:rowOff>38100</xdr:rowOff>
                  </from>
                  <to>
                    <xdr:col>16</xdr:col>
                    <xdr:colOff>733425</xdr:colOff>
                    <xdr:row>16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2:R225"/>
  <sheetViews>
    <sheetView showWhiteSpace="0" zoomScale="75" zoomScaleNormal="75" workbookViewId="0">
      <selection activeCell="D4" sqref="D4"/>
    </sheetView>
  </sheetViews>
  <sheetFormatPr baseColWidth="10" defaultColWidth="11.42578125" defaultRowHeight="15" x14ac:dyDescent="0.25"/>
  <cols>
    <col min="1" max="1" width="6.42578125" customWidth="1"/>
    <col min="3" max="3" width="18.85546875" customWidth="1"/>
    <col min="4" max="4" width="11.7109375" style="26" customWidth="1"/>
    <col min="5" max="5" width="18" customWidth="1"/>
    <col min="6" max="6" width="15.140625" customWidth="1"/>
    <col min="7" max="7" width="15.42578125" customWidth="1"/>
    <col min="12" max="12" width="26.7109375" customWidth="1"/>
    <col min="14" max="14" width="15.42578125" customWidth="1"/>
    <col min="17" max="17" width="6.140625" customWidth="1"/>
  </cols>
  <sheetData>
    <row r="2" spans="2:18" ht="21" x14ac:dyDescent="0.25">
      <c r="D2" s="9" t="s">
        <v>44</v>
      </c>
    </row>
    <row r="3" spans="2:18" ht="18.75" x14ac:dyDescent="0.25">
      <c r="C3" s="107" t="s">
        <v>51</v>
      </c>
      <c r="D3" s="107"/>
      <c r="E3" s="107"/>
    </row>
    <row r="4" spans="2:18" ht="15.75" thickBot="1" x14ac:dyDescent="0.3">
      <c r="D4" s="137">
        <v>60</v>
      </c>
    </row>
    <row r="5" spans="2:18" ht="20.25" thickTop="1" thickBot="1" x14ac:dyDescent="0.3">
      <c r="B5" s="93" t="s">
        <v>0</v>
      </c>
      <c r="C5" s="96"/>
      <c r="D5" s="27" t="s">
        <v>1</v>
      </c>
      <c r="E5" s="1" t="s">
        <v>2</v>
      </c>
      <c r="F5" s="1" t="s">
        <v>3</v>
      </c>
      <c r="G5" s="15"/>
    </row>
    <row r="6" spans="2:18" ht="20.25" thickTop="1" thickBot="1" x14ac:dyDescent="0.3">
      <c r="B6" s="95" t="s">
        <v>81</v>
      </c>
      <c r="C6" s="94"/>
      <c r="D6" s="3">
        <v>1200</v>
      </c>
      <c r="E6" s="3">
        <v>1200</v>
      </c>
      <c r="F6" s="3">
        <v>2</v>
      </c>
      <c r="G6" s="17"/>
      <c r="H6" s="44" t="s">
        <v>62</v>
      </c>
    </row>
    <row r="7" spans="2:18" ht="15.75" thickTop="1" x14ac:dyDescent="0.25"/>
    <row r="8" spans="2:18" ht="15.75" thickBot="1" x14ac:dyDescent="0.3"/>
    <row r="9" spans="2:18" ht="30.75" customHeight="1" thickBot="1" x14ac:dyDescent="0.3">
      <c r="B9" s="125" t="s">
        <v>4</v>
      </c>
      <c r="C9" s="126"/>
      <c r="D9" s="127"/>
      <c r="E9" s="5" t="s">
        <v>5</v>
      </c>
      <c r="F9" s="52" t="s">
        <v>78</v>
      </c>
      <c r="G9" s="53" t="s">
        <v>77</v>
      </c>
      <c r="H9" s="75"/>
      <c r="I9" s="75"/>
      <c r="J9" s="75"/>
      <c r="K9" s="78"/>
    </row>
    <row r="10" spans="2:18" ht="19.5" customHeight="1" thickTop="1" thickBot="1" x14ac:dyDescent="0.3">
      <c r="B10" s="128" t="s">
        <v>7</v>
      </c>
      <c r="C10" s="129"/>
      <c r="D10" s="28">
        <v>76</v>
      </c>
      <c r="E10" s="6">
        <f>E6+50</f>
        <v>1250</v>
      </c>
      <c r="F10" s="63">
        <f>F6*2</f>
        <v>4</v>
      </c>
      <c r="G10" s="54">
        <f>F10/F6</f>
        <v>2</v>
      </c>
      <c r="H10" s="10"/>
      <c r="I10" s="10"/>
      <c r="J10" s="10"/>
      <c r="K10" s="10"/>
    </row>
    <row r="11" spans="2:18" ht="20.25" customHeight="1" thickBot="1" x14ac:dyDescent="0.3">
      <c r="B11" s="124" t="s">
        <v>8</v>
      </c>
      <c r="C11" s="91"/>
      <c r="D11" s="22">
        <v>205</v>
      </c>
      <c r="E11" s="7">
        <f>IF(D11=250,D6+(D10*2)-12,IF(D11=300,D6+(D10*2)-12,IF(D11=205,D6+(D10*2)-18,IF(D11=180,D6+(D10*2)-18))))</f>
        <v>1334</v>
      </c>
      <c r="F11" s="64">
        <f>F6</f>
        <v>2</v>
      </c>
      <c r="G11" s="54">
        <f>1</f>
        <v>1</v>
      </c>
      <c r="H11" s="10"/>
      <c r="I11" s="10"/>
      <c r="J11" s="10"/>
      <c r="K11" s="10"/>
      <c r="M11" t="str">
        <f>B6</f>
        <v>HHH</v>
      </c>
      <c r="N11" t="s">
        <v>75</v>
      </c>
      <c r="O11">
        <f>D6</f>
        <v>1200</v>
      </c>
      <c r="P11">
        <f>E6</f>
        <v>1200</v>
      </c>
      <c r="Q11">
        <f>F6</f>
        <v>2</v>
      </c>
      <c r="R11" s="50">
        <f>J28</f>
        <v>0</v>
      </c>
    </row>
    <row r="12" spans="2:18" ht="20.25" customHeight="1" thickBot="1" x14ac:dyDescent="0.3">
      <c r="B12" s="124" t="s">
        <v>9</v>
      </c>
      <c r="C12" s="91"/>
      <c r="D12" s="22">
        <v>64</v>
      </c>
      <c r="E12" s="7">
        <f>IF(D11=300,D6-150,IF(D11=250,D6-150,IF(D11=205,D6-100,IF(D11=180,D6-100))))</f>
        <v>1100</v>
      </c>
      <c r="F12" s="64">
        <f>F6</f>
        <v>2</v>
      </c>
      <c r="G12" s="54">
        <f>F12/F6</f>
        <v>1</v>
      </c>
      <c r="H12" s="10"/>
      <c r="I12" s="10"/>
      <c r="J12" s="10"/>
      <c r="K12" s="10"/>
    </row>
    <row r="13" spans="2:18" ht="20.25" customHeight="1" thickBot="1" x14ac:dyDescent="0.3">
      <c r="B13" s="124" t="s">
        <v>10</v>
      </c>
      <c r="C13" s="91"/>
      <c r="D13" s="22">
        <v>60</v>
      </c>
      <c r="E13" s="7">
        <f>IF(D10=95,D6-92,IF(D10=76,D6-92,IF(D10=80,D6-72,IF(D10=66,D6-72))))</f>
        <v>1108</v>
      </c>
      <c r="F13" s="64">
        <f>(E6/D13+1)*F6</f>
        <v>42</v>
      </c>
      <c r="G13" s="55">
        <f>ROUNDUP(F13/F6,0)</f>
        <v>21</v>
      </c>
      <c r="H13" s="10"/>
      <c r="I13" s="10"/>
      <c r="J13" s="10"/>
      <c r="K13" s="10"/>
    </row>
    <row r="14" spans="2:18" ht="20.25" customHeight="1" thickBot="1" x14ac:dyDescent="0.3">
      <c r="B14" s="124" t="s">
        <v>11</v>
      </c>
      <c r="C14" s="91"/>
      <c r="D14" s="22">
        <f>D13</f>
        <v>60</v>
      </c>
      <c r="E14" s="7">
        <f>E13</f>
        <v>1108</v>
      </c>
      <c r="F14" s="64">
        <f>F6</f>
        <v>2</v>
      </c>
      <c r="G14" s="54">
        <f>F14/F6</f>
        <v>1</v>
      </c>
      <c r="H14" s="10"/>
      <c r="I14" s="10"/>
      <c r="J14" s="133" t="s">
        <v>99</v>
      </c>
      <c r="K14" s="134"/>
      <c r="L14" s="79"/>
    </row>
    <row r="15" spans="2:18" ht="20.25" hidden="1" customHeight="1" thickBot="1" x14ac:dyDescent="0.3">
      <c r="B15" s="41"/>
      <c r="C15" s="42"/>
      <c r="D15" s="22"/>
      <c r="E15" s="7"/>
      <c r="F15" s="64"/>
      <c r="G15" s="54">
        <f>F15/F6</f>
        <v>0</v>
      </c>
      <c r="H15" s="10"/>
      <c r="I15" s="10"/>
      <c r="J15" s="135"/>
      <c r="K15" s="136"/>
    </row>
    <row r="16" spans="2:18" ht="20.25" customHeight="1" thickBot="1" x14ac:dyDescent="0.3">
      <c r="B16" s="124" t="s">
        <v>12</v>
      </c>
      <c r="C16" s="91"/>
      <c r="D16" s="22">
        <v>205</v>
      </c>
      <c r="E16" s="7"/>
      <c r="F16" s="64">
        <f>F6</f>
        <v>2</v>
      </c>
      <c r="G16" s="54">
        <f>F16/F6</f>
        <v>1</v>
      </c>
      <c r="H16" s="10"/>
      <c r="I16" s="10"/>
      <c r="J16" s="133" t="s">
        <v>98</v>
      </c>
      <c r="K16" s="134"/>
      <c r="L16" s="79"/>
    </row>
    <row r="17" spans="2:12" ht="20.25" customHeight="1" thickBot="1" x14ac:dyDescent="0.3">
      <c r="B17" s="29" t="s">
        <v>13</v>
      </c>
      <c r="C17" s="30"/>
      <c r="D17" s="22">
        <f>D11</f>
        <v>205</v>
      </c>
      <c r="E17" s="7"/>
      <c r="F17" s="64">
        <f>F6</f>
        <v>2</v>
      </c>
      <c r="G17" s="54">
        <f>F17/F6</f>
        <v>1</v>
      </c>
      <c r="H17" s="10"/>
      <c r="I17" s="10"/>
      <c r="J17" s="10"/>
      <c r="K17" s="10"/>
    </row>
    <row r="18" spans="2:12" ht="20.25" hidden="1" customHeight="1" thickBot="1" x14ac:dyDescent="0.3">
      <c r="B18" s="41"/>
      <c r="C18" s="42"/>
      <c r="D18" s="22">
        <f t="shared" ref="D18:D19" si="0">D12</f>
        <v>64</v>
      </c>
      <c r="E18" s="7"/>
      <c r="F18" s="64"/>
      <c r="G18" s="54">
        <f>F18/F6</f>
        <v>0</v>
      </c>
      <c r="H18" s="10"/>
      <c r="I18" s="10"/>
      <c r="J18" s="10"/>
      <c r="K18" s="10"/>
    </row>
    <row r="19" spans="2:12" ht="20.25" hidden="1" customHeight="1" thickBot="1" x14ac:dyDescent="0.3">
      <c r="B19" s="41"/>
      <c r="C19" s="42"/>
      <c r="D19" s="22">
        <f t="shared" si="0"/>
        <v>60</v>
      </c>
      <c r="E19" s="7"/>
      <c r="F19" s="64"/>
      <c r="G19" s="54">
        <f>F19/F6</f>
        <v>0</v>
      </c>
      <c r="H19" s="10"/>
      <c r="I19" s="10"/>
      <c r="J19" s="10"/>
      <c r="K19" s="10"/>
    </row>
    <row r="20" spans="2:12" ht="20.25" customHeight="1" thickBot="1" x14ac:dyDescent="0.3">
      <c r="B20" s="124" t="s">
        <v>61</v>
      </c>
      <c r="C20" s="91"/>
      <c r="D20" s="22">
        <f>D10</f>
        <v>76</v>
      </c>
      <c r="E20" s="7"/>
      <c r="F20" s="64">
        <f>F6</f>
        <v>2</v>
      </c>
      <c r="G20" s="54">
        <f>F20/F6</f>
        <v>1</v>
      </c>
      <c r="H20" s="10"/>
      <c r="I20" s="10"/>
      <c r="J20" s="10"/>
      <c r="K20" s="10"/>
    </row>
    <row r="21" spans="2:12" ht="20.25" customHeight="1" thickBot="1" x14ac:dyDescent="0.3">
      <c r="B21" s="29" t="s">
        <v>17</v>
      </c>
      <c r="C21" s="30"/>
      <c r="D21" s="22"/>
      <c r="E21" s="7"/>
      <c r="F21" s="64">
        <f>F6</f>
        <v>2</v>
      </c>
      <c r="G21" s="54">
        <f>+IF(B27="MOTEUR",0,1)</f>
        <v>0</v>
      </c>
      <c r="H21" s="10"/>
      <c r="I21" s="10"/>
      <c r="J21" s="10"/>
      <c r="K21" s="10"/>
    </row>
    <row r="22" spans="2:12" ht="20.25" customHeight="1" thickBot="1" x14ac:dyDescent="0.3">
      <c r="B22" s="29" t="s">
        <v>18</v>
      </c>
      <c r="C22" s="30"/>
      <c r="D22" s="22">
        <f>D13</f>
        <v>60</v>
      </c>
      <c r="E22" s="7"/>
      <c r="F22" s="64">
        <f>G22*F6</f>
        <v>6</v>
      </c>
      <c r="G22" s="55">
        <f>ROUNDUP((D6/500),0)</f>
        <v>3</v>
      </c>
      <c r="H22" s="10"/>
      <c r="I22" s="10"/>
      <c r="J22" s="10"/>
      <c r="K22" s="10"/>
    </row>
    <row r="23" spans="2:12" ht="20.25" customHeight="1" thickBot="1" x14ac:dyDescent="0.3">
      <c r="B23" s="29" t="s">
        <v>19</v>
      </c>
      <c r="C23" s="30"/>
      <c r="D23" s="22">
        <f>D12</f>
        <v>64</v>
      </c>
      <c r="E23" s="7"/>
      <c r="F23" s="64">
        <f>F6</f>
        <v>2</v>
      </c>
      <c r="G23" s="54">
        <f>F23/F6</f>
        <v>1</v>
      </c>
      <c r="H23" s="10"/>
      <c r="I23" s="10"/>
      <c r="J23" s="10"/>
      <c r="K23" s="10"/>
    </row>
    <row r="24" spans="2:12" ht="20.25" customHeight="1" thickBot="1" x14ac:dyDescent="0.3">
      <c r="B24" s="124" t="str">
        <f>IF(D11=250,"PLAQUE  SUPPORT GOUPILLE",IF(D11=300,"PLAQUE  SUPPORT GOUPILLE",IF(D11=205,"ROULEMENT A BILLES",IF(D11=180,"ROULEMENT A BILLES"))))</f>
        <v>ROULEMENT A BILLES</v>
      </c>
      <c r="C24" s="91"/>
      <c r="D24" s="22" t="str">
        <f>IF(D11=250,250,IF(D11=300,300,IF(D11=180,"diam 22",IF(D11=205,"diam 22"))))</f>
        <v>diam 22</v>
      </c>
      <c r="E24" s="7"/>
      <c r="F24" s="64">
        <f>F6</f>
        <v>2</v>
      </c>
      <c r="G24" s="54">
        <f>F24/F6</f>
        <v>1</v>
      </c>
      <c r="H24" s="10"/>
      <c r="I24" s="10"/>
      <c r="J24" s="10"/>
      <c r="K24" s="10"/>
      <c r="L24" s="45"/>
    </row>
    <row r="25" spans="2:12" ht="19.5" customHeight="1" thickBot="1" x14ac:dyDescent="0.3">
      <c r="B25" s="124" t="s">
        <v>20</v>
      </c>
      <c r="C25" s="91"/>
      <c r="D25" s="22">
        <f>1</f>
        <v>1</v>
      </c>
      <c r="E25" s="7"/>
      <c r="F25" s="64">
        <f>F6</f>
        <v>2</v>
      </c>
      <c r="G25" s="54">
        <f>F25/F6</f>
        <v>1</v>
      </c>
      <c r="H25" s="10"/>
      <c r="I25" s="10"/>
      <c r="J25" s="10"/>
      <c r="K25" s="10"/>
      <c r="L25" s="47"/>
    </row>
    <row r="26" spans="2:12" ht="20.25" customHeight="1" thickBot="1" x14ac:dyDescent="0.3">
      <c r="B26" s="29" t="s">
        <v>21</v>
      </c>
      <c r="C26" s="30"/>
      <c r="D26" s="22" t="s">
        <v>22</v>
      </c>
      <c r="E26" s="13"/>
      <c r="F26" s="64">
        <f>F6</f>
        <v>2</v>
      </c>
      <c r="G26" s="54">
        <f>F26/F6</f>
        <v>1</v>
      </c>
      <c r="H26" s="10"/>
      <c r="I26" s="10"/>
      <c r="J26" s="10"/>
      <c r="K26" s="10"/>
      <c r="L26" s="45"/>
    </row>
    <row r="27" spans="2:12" ht="20.25" customHeight="1" thickBot="1" x14ac:dyDescent="0.3">
      <c r="B27" s="122" t="s">
        <v>47</v>
      </c>
      <c r="C27" s="123"/>
      <c r="D27" s="14">
        <v>50</v>
      </c>
      <c r="E27" s="8"/>
      <c r="F27" s="65">
        <f>F6</f>
        <v>2</v>
      </c>
      <c r="G27" s="56">
        <f>F27/F6</f>
        <v>1</v>
      </c>
      <c r="H27" s="10"/>
      <c r="I27" s="10"/>
      <c r="J27" s="10"/>
      <c r="K27" s="10"/>
      <c r="L27" s="47"/>
    </row>
    <row r="28" spans="2:12" ht="15.75" thickTop="1" x14ac:dyDescent="0.25">
      <c r="H28" s="92"/>
      <c r="I28" s="92"/>
      <c r="J28" s="10"/>
      <c r="K28" s="10"/>
    </row>
    <row r="29" spans="2:12" x14ac:dyDescent="0.25">
      <c r="D29" s="26" t="s">
        <v>22</v>
      </c>
      <c r="K29" s="10"/>
    </row>
    <row r="30" spans="2:12" x14ac:dyDescent="0.25">
      <c r="J30" s="10"/>
      <c r="K30" s="10"/>
    </row>
    <row r="35" spans="4:4" x14ac:dyDescent="0.25">
      <c r="D35" s="26">
        <v>30</v>
      </c>
    </row>
    <row r="37" spans="4:4" x14ac:dyDescent="0.25">
      <c r="D37" s="26">
        <v>80</v>
      </c>
    </row>
    <row r="52" spans="3:8" ht="15.75" thickBot="1" x14ac:dyDescent="0.3"/>
    <row r="53" spans="3:8" ht="15.75" thickBot="1" x14ac:dyDescent="0.3">
      <c r="E53" s="22" t="s">
        <v>57</v>
      </c>
      <c r="F53" s="22" t="s">
        <v>59</v>
      </c>
      <c r="G53" s="32" t="s">
        <v>87</v>
      </c>
      <c r="H53" s="76" t="s">
        <v>88</v>
      </c>
    </row>
    <row r="54" spans="3:8" ht="15.75" thickBot="1" x14ac:dyDescent="0.3">
      <c r="C54" s="90" t="s">
        <v>95</v>
      </c>
      <c r="D54" s="91"/>
      <c r="E54" s="80">
        <f>IF(D10=66,base!E11,IF(D10=76,base!E12,IF(D10=80,base!E13,IF(D10=95,base!E14))))</f>
        <v>7.5741379310344827</v>
      </c>
      <c r="F54" s="80">
        <f>+E10*F10/1000</f>
        <v>5</v>
      </c>
      <c r="G54" s="81">
        <f>H54/F6</f>
        <v>37.870689655172413</v>
      </c>
      <c r="H54" s="81">
        <f>+E54*F54*F6</f>
        <v>75.741379310344826</v>
      </c>
    </row>
    <row r="55" spans="3:8" ht="15.75" thickBot="1" x14ac:dyDescent="0.3">
      <c r="C55" s="90" t="s">
        <v>96</v>
      </c>
      <c r="D55" s="91"/>
      <c r="E55" s="80">
        <f>IF(D11=205,base!E8,IF(D11=180,base!E7,IF(D11=250,base!E9,IF(D11=300,base!E10))))</f>
        <v>18.991379310344829</v>
      </c>
      <c r="F55" s="80">
        <f>E11/100</f>
        <v>13.34</v>
      </c>
      <c r="G55" s="81">
        <f>H55/F6</f>
        <v>253.34500000000003</v>
      </c>
      <c r="H55" s="81">
        <f>E55*F55*F6</f>
        <v>506.69000000000005</v>
      </c>
    </row>
    <row r="56" spans="3:8" ht="15.75" thickBot="1" x14ac:dyDescent="0.3">
      <c r="C56" s="90" t="s">
        <v>9</v>
      </c>
      <c r="D56" s="91"/>
      <c r="E56" s="80">
        <f>IF(D12=54,base!E15,IF(D12=64,base!E16,IF(D12=80,base!E17)))</f>
        <v>6.0283333333333333</v>
      </c>
      <c r="F56" s="80">
        <f>E12/1000</f>
        <v>1.1000000000000001</v>
      </c>
      <c r="G56" s="81">
        <f>H56/F6</f>
        <v>6.6311666666666671</v>
      </c>
      <c r="H56" s="81">
        <f>E56*F56*F6</f>
        <v>13.262333333333334</v>
      </c>
    </row>
    <row r="57" spans="3:8" ht="15.75" thickBot="1" x14ac:dyDescent="0.3">
      <c r="C57" s="90" t="s">
        <v>10</v>
      </c>
      <c r="D57" s="91"/>
      <c r="E57" s="80">
        <f>IF(D13=45,base!E3,base!E4)</f>
        <v>3.1637931034482762</v>
      </c>
      <c r="F57" s="80">
        <f>E13*G13/1000</f>
        <v>23.268000000000001</v>
      </c>
      <c r="G57" s="81">
        <f>H57/F6</f>
        <v>23.268000000000001</v>
      </c>
      <c r="H57" s="81">
        <f>F57*F6</f>
        <v>46.536000000000001</v>
      </c>
    </row>
    <row r="58" spans="3:8" ht="15.75" thickBot="1" x14ac:dyDescent="0.3">
      <c r="C58" s="90" t="s">
        <v>11</v>
      </c>
      <c r="D58" s="91"/>
      <c r="E58" s="80">
        <f>IF(D14=45,base!E5,base!E6)</f>
        <v>3.7033333333333331</v>
      </c>
      <c r="F58" s="80">
        <f>E14/1000</f>
        <v>1.1080000000000001</v>
      </c>
      <c r="G58" s="81">
        <f>H58/F6</f>
        <v>4.1032933333333332</v>
      </c>
      <c r="H58" s="81">
        <f>F58*E58*F6</f>
        <v>8.2065866666666665</v>
      </c>
    </row>
    <row r="59" spans="3:8" ht="15.75" thickBot="1" x14ac:dyDescent="0.3">
      <c r="C59" s="82" t="s">
        <v>12</v>
      </c>
      <c r="D59" s="74"/>
      <c r="E59" s="80">
        <f>IF(D16=205,base!E19,IF(D16=180,base!E18,IF(D16=250,base!E20,IF(D16=300,base!E21))))</f>
        <v>13.72</v>
      </c>
      <c r="F59" s="80"/>
      <c r="G59" s="81">
        <f>E59</f>
        <v>13.72</v>
      </c>
      <c r="H59" s="81">
        <f>G59*F6</f>
        <v>27.44</v>
      </c>
    </row>
    <row r="60" spans="3:8" ht="15.75" thickBot="1" x14ac:dyDescent="0.3">
      <c r="C60" s="73" t="s">
        <v>13</v>
      </c>
      <c r="D60" s="73"/>
      <c r="E60" s="80">
        <f>IF(D17=205,base!E23,IF(D17=180,base!E22,IF(D17=250,base!E24,IF(D17=300,base!E25))))</f>
        <v>3.14</v>
      </c>
      <c r="F60" s="80"/>
      <c r="G60" s="81">
        <f>E60</f>
        <v>3.14</v>
      </c>
      <c r="H60" s="81">
        <f>G60*F6</f>
        <v>6.28</v>
      </c>
    </row>
    <row r="61" spans="3:8" ht="15.75" thickBot="1" x14ac:dyDescent="0.3">
      <c r="C61" s="90" t="s">
        <v>14</v>
      </c>
      <c r="D61" s="91"/>
      <c r="E61" s="80"/>
      <c r="F61" s="80"/>
      <c r="G61" s="81"/>
      <c r="H61" s="81"/>
    </row>
    <row r="62" spans="3:8" ht="15.75" thickBot="1" x14ac:dyDescent="0.3">
      <c r="C62" s="82" t="s">
        <v>15</v>
      </c>
      <c r="D62" s="74"/>
      <c r="E62" s="80"/>
      <c r="F62" s="80"/>
      <c r="G62" s="81"/>
      <c r="H62" s="81"/>
    </row>
    <row r="63" spans="3:8" ht="15.75" thickBot="1" x14ac:dyDescent="0.3">
      <c r="C63" s="82" t="s">
        <v>61</v>
      </c>
      <c r="D63" s="74"/>
      <c r="E63" s="80">
        <f>IF(D20=66,base!E28,IF(D20=76,base!E29,IF(D20=80,base!E30,IF(D20=95,base!E31))))</f>
        <v>5.85</v>
      </c>
      <c r="F63" s="80"/>
      <c r="G63" s="81">
        <f>E63</f>
        <v>5.85</v>
      </c>
      <c r="H63" s="81">
        <f>G63*F6</f>
        <v>11.7</v>
      </c>
    </row>
    <row r="64" spans="3:8" ht="15.75" thickBot="1" x14ac:dyDescent="0.3">
      <c r="C64" s="90" t="s">
        <v>17</v>
      </c>
      <c r="D64" s="91"/>
      <c r="E64" s="80">
        <f>base!E32</f>
        <v>3</v>
      </c>
      <c r="F64" s="80"/>
      <c r="G64" s="81">
        <f>G21*E64</f>
        <v>0</v>
      </c>
      <c r="H64" s="81">
        <f>G64*F6</f>
        <v>0</v>
      </c>
    </row>
    <row r="65" spans="3:8" ht="15.75" thickBot="1" x14ac:dyDescent="0.3">
      <c r="C65" s="90" t="s">
        <v>18</v>
      </c>
      <c r="D65" s="91"/>
      <c r="E65" s="80">
        <f>IF(D22=45,base!E33,base!E34)</f>
        <v>0.9</v>
      </c>
      <c r="F65" s="80"/>
      <c r="G65" s="81">
        <f>E65*G22</f>
        <v>2.7</v>
      </c>
      <c r="H65" s="81">
        <f>G65*F6</f>
        <v>5.4</v>
      </c>
    </row>
    <row r="66" spans="3:8" ht="15.75" thickBot="1" x14ac:dyDescent="0.3">
      <c r="C66" s="73" t="s">
        <v>19</v>
      </c>
      <c r="D66" s="73"/>
      <c r="E66" s="80">
        <f>IF(D23=54,base!E35,IF(D23=64,base!E36,IF(D23=80,base!E37)))</f>
        <v>0</v>
      </c>
      <c r="F66" s="80"/>
      <c r="G66" s="81">
        <f>E66</f>
        <v>0</v>
      </c>
      <c r="H66" s="81">
        <f>G66*F6</f>
        <v>0</v>
      </c>
    </row>
    <row r="67" spans="3:8" ht="15.75" thickBot="1" x14ac:dyDescent="0.3">
      <c r="C67" s="82" t="str">
        <f>B24</f>
        <v>ROULEMENT A BILLES</v>
      </c>
      <c r="D67" s="74"/>
      <c r="E67" s="80">
        <f>IF(D11=180,base!E38,IF(D11=205,base!E38,IF(D11=250,base!E39,IF(D11=300,base!E39))))</f>
        <v>0</v>
      </c>
      <c r="F67" s="80"/>
      <c r="G67" s="81">
        <f>E67</f>
        <v>0</v>
      </c>
      <c r="H67" s="81">
        <f>G67*F6</f>
        <v>0</v>
      </c>
    </row>
    <row r="68" spans="3:8" ht="15.75" thickBot="1" x14ac:dyDescent="0.3">
      <c r="C68" s="90" t="s">
        <v>20</v>
      </c>
      <c r="D68" s="91"/>
      <c r="E68" s="80">
        <f>base!E40</f>
        <v>11.13</v>
      </c>
      <c r="F68" s="80"/>
      <c r="G68" s="81">
        <f>E68</f>
        <v>11.13</v>
      </c>
      <c r="H68" s="81">
        <f>G68*F6</f>
        <v>22.26</v>
      </c>
    </row>
    <row r="69" spans="3:8" ht="15.75" thickBot="1" x14ac:dyDescent="0.3">
      <c r="C69" s="90" t="s">
        <v>21</v>
      </c>
      <c r="D69" s="91"/>
      <c r="E69" s="80">
        <f>base!E41</f>
        <v>14.67</v>
      </c>
      <c r="F69" s="80"/>
      <c r="G69" s="81">
        <f>E69</f>
        <v>14.67</v>
      </c>
      <c r="H69" s="81">
        <f>G69*F6</f>
        <v>29.34</v>
      </c>
    </row>
    <row r="70" spans="3:8" ht="15.75" thickBot="1" x14ac:dyDescent="0.3">
      <c r="C70" s="90" t="s">
        <v>100</v>
      </c>
      <c r="D70" s="91"/>
      <c r="E70" s="80">
        <f>IF(D27=30,base!E42,IF(D27=50,base!E43,IF(D27=80,base!E44,IF(D27=120,base!E45))))</f>
        <v>154.46</v>
      </c>
      <c r="F70" s="80"/>
      <c r="G70" s="81">
        <f>E70</f>
        <v>154.46</v>
      </c>
      <c r="H70" s="81">
        <f>G70*F6</f>
        <v>308.92</v>
      </c>
    </row>
    <row r="71" spans="3:8" x14ac:dyDescent="0.25">
      <c r="C71" s="89"/>
      <c r="D71" s="89"/>
      <c r="E71" s="10"/>
      <c r="F71" s="10" t="s">
        <v>97</v>
      </c>
      <c r="G71" s="50">
        <f>SUM(G54:G70)</f>
        <v>530.88814965517258</v>
      </c>
      <c r="H71" s="50">
        <f>SUM(H54:H70)</f>
        <v>1061.7762993103452</v>
      </c>
    </row>
    <row r="225" spans="4:4" x14ac:dyDescent="0.25">
      <c r="D225" s="26" t="s">
        <v>22</v>
      </c>
    </row>
  </sheetData>
  <mergeCells count="30">
    <mergeCell ref="B27:C27"/>
    <mergeCell ref="B12:C12"/>
    <mergeCell ref="B13:C13"/>
    <mergeCell ref="B14:C14"/>
    <mergeCell ref="B16:C16"/>
    <mergeCell ref="B20:C20"/>
    <mergeCell ref="B25:C25"/>
    <mergeCell ref="B24:C24"/>
    <mergeCell ref="B11:C11"/>
    <mergeCell ref="C3:E3"/>
    <mergeCell ref="B5:C5"/>
    <mergeCell ref="B6:C6"/>
    <mergeCell ref="B9:D9"/>
    <mergeCell ref="B10:C10"/>
    <mergeCell ref="C65:D65"/>
    <mergeCell ref="C69:D69"/>
    <mergeCell ref="C71:D71"/>
    <mergeCell ref="J14:K14"/>
    <mergeCell ref="J15:K15"/>
    <mergeCell ref="J16:K16"/>
    <mergeCell ref="C64:D64"/>
    <mergeCell ref="C70:D70"/>
    <mergeCell ref="C68:D68"/>
    <mergeCell ref="C61:D61"/>
    <mergeCell ref="C54:D54"/>
    <mergeCell ref="C55:D55"/>
    <mergeCell ref="C56:D56"/>
    <mergeCell ref="C57:D57"/>
    <mergeCell ref="C58:D58"/>
    <mergeCell ref="H28:I28"/>
  </mergeCells>
  <pageMargins left="0.11811023622047245" right="0.11811023622047245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imprimer">
                <anchor moveWithCells="1">
                  <from>
                    <xdr:col>7</xdr:col>
                    <xdr:colOff>38100</xdr:colOff>
                    <xdr:row>1</xdr:row>
                    <xdr:rowOff>0</xdr:rowOff>
                  </from>
                  <to>
                    <xdr:col>8</xdr:col>
                    <xdr:colOff>723900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macro8">
                <anchor moveWithCells="1" sizeWithCells="1">
                  <from>
                    <xdr:col>14</xdr:col>
                    <xdr:colOff>9525</xdr:colOff>
                    <xdr:row>12</xdr:row>
                    <xdr:rowOff>38100</xdr:rowOff>
                  </from>
                  <to>
                    <xdr:col>16</xdr:col>
                    <xdr:colOff>733425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B2:R72"/>
  <sheetViews>
    <sheetView zoomScale="75" zoomScaleNormal="75" workbookViewId="0">
      <selection activeCell="H13" sqref="H13"/>
    </sheetView>
  </sheetViews>
  <sheetFormatPr baseColWidth="10" defaultRowHeight="15" x14ac:dyDescent="0.25"/>
  <cols>
    <col min="1" max="1" width="6.7109375" customWidth="1"/>
    <col min="3" max="3" width="18.85546875" customWidth="1"/>
    <col min="4" max="4" width="12.5703125" style="26" customWidth="1"/>
    <col min="5" max="5" width="18" customWidth="1"/>
    <col min="6" max="6" width="15.140625" customWidth="1"/>
    <col min="7" max="7" width="15.42578125" customWidth="1"/>
    <col min="12" max="12" width="25.7109375" customWidth="1"/>
    <col min="14" max="14" width="15.7109375" customWidth="1"/>
    <col min="17" max="17" width="6.140625" customWidth="1"/>
  </cols>
  <sheetData>
    <row r="2" spans="2:18" ht="21" x14ac:dyDescent="0.25">
      <c r="D2" s="9" t="s">
        <v>45</v>
      </c>
    </row>
    <row r="3" spans="2:18" ht="18.75" x14ac:dyDescent="0.25">
      <c r="C3" s="107" t="s">
        <v>51</v>
      </c>
      <c r="D3" s="107"/>
      <c r="E3" s="107"/>
    </row>
    <row r="4" spans="2:18" ht="15.75" thickBot="1" x14ac:dyDescent="0.3">
      <c r="D4" s="137">
        <v>60</v>
      </c>
    </row>
    <row r="5" spans="2:18" ht="20.25" thickTop="1" thickBot="1" x14ac:dyDescent="0.3">
      <c r="B5" s="93" t="s">
        <v>0</v>
      </c>
      <c r="C5" s="96"/>
      <c r="D5" s="27" t="s">
        <v>1</v>
      </c>
      <c r="E5" s="1" t="s">
        <v>2</v>
      </c>
      <c r="F5" s="1" t="s">
        <v>3</v>
      </c>
      <c r="G5" s="15"/>
    </row>
    <row r="6" spans="2:18" ht="20.25" thickTop="1" thickBot="1" x14ac:dyDescent="0.3">
      <c r="B6" s="95" t="s">
        <v>80</v>
      </c>
      <c r="C6" s="94"/>
      <c r="D6" s="3">
        <v>3000</v>
      </c>
      <c r="E6" s="3">
        <v>2500</v>
      </c>
      <c r="F6" s="3">
        <v>2</v>
      </c>
      <c r="G6" s="17"/>
      <c r="H6" s="44" t="s">
        <v>62</v>
      </c>
    </row>
    <row r="7" spans="2:18" ht="15.75" thickTop="1" x14ac:dyDescent="0.25"/>
    <row r="8" spans="2:18" ht="15.75" thickBot="1" x14ac:dyDescent="0.3"/>
    <row r="9" spans="2:18" ht="30.75" customHeight="1" thickBot="1" x14ac:dyDescent="0.3">
      <c r="B9" s="125" t="s">
        <v>4</v>
      </c>
      <c r="C9" s="126"/>
      <c r="D9" s="127"/>
      <c r="E9" s="5" t="s">
        <v>5</v>
      </c>
      <c r="F9" s="52" t="s">
        <v>78</v>
      </c>
      <c r="G9" s="53" t="s">
        <v>77</v>
      </c>
      <c r="H9" s="75"/>
      <c r="I9" s="75"/>
      <c r="J9" s="75"/>
    </row>
    <row r="10" spans="2:18" ht="19.5" customHeight="1" thickTop="1" thickBot="1" x14ac:dyDescent="0.3">
      <c r="B10" s="128" t="s">
        <v>7</v>
      </c>
      <c r="C10" s="129"/>
      <c r="D10" s="28">
        <v>76</v>
      </c>
      <c r="E10" s="6">
        <f>+E6+50+D15</f>
        <v>2626</v>
      </c>
      <c r="F10" s="63">
        <f>F6*2</f>
        <v>4</v>
      </c>
      <c r="G10" s="54">
        <f>F10/F6</f>
        <v>2</v>
      </c>
      <c r="H10" s="36"/>
      <c r="I10" s="10"/>
      <c r="J10" s="10"/>
    </row>
    <row r="11" spans="2:18" ht="20.25" customHeight="1" thickBot="1" x14ac:dyDescent="0.3">
      <c r="B11" s="124" t="s">
        <v>8</v>
      </c>
      <c r="C11" s="91"/>
      <c r="D11" s="22">
        <v>250</v>
      </c>
      <c r="E11" s="7">
        <f>IF(D11=250,D6+(D10*2)-12,IF(D11=300,D6+(D10*2)-12,IF(D11=205,D6+(D10*2)-18,IF(D11=180,D6+(D10*2)-18))))</f>
        <v>3140</v>
      </c>
      <c r="F11" s="64">
        <f>F10/F6</f>
        <v>2</v>
      </c>
      <c r="G11" s="54">
        <f>F6</f>
        <v>2</v>
      </c>
      <c r="H11" s="36"/>
      <c r="I11" s="10"/>
      <c r="J11" s="10"/>
    </row>
    <row r="12" spans="2:18" ht="20.25" customHeight="1" thickBot="1" x14ac:dyDescent="0.3">
      <c r="B12" s="124" t="s">
        <v>9</v>
      </c>
      <c r="C12" s="91"/>
      <c r="D12" s="22">
        <v>80</v>
      </c>
      <c r="E12" s="7">
        <f>IF(D11=300,D6-150,IF(D11=250,D6-150,IF(D11=205,D6-100,IF(D11=180,D6-100))))</f>
        <v>2850</v>
      </c>
      <c r="F12" s="64">
        <f>F6</f>
        <v>2</v>
      </c>
      <c r="G12" s="54">
        <f>F12/F6</f>
        <v>1</v>
      </c>
      <c r="H12" s="36"/>
      <c r="I12" s="10"/>
      <c r="J12" s="10"/>
    </row>
    <row r="13" spans="2:18" ht="20.25" customHeight="1" thickBot="1" x14ac:dyDescent="0.3">
      <c r="B13" s="124" t="s">
        <v>10</v>
      </c>
      <c r="C13" s="91"/>
      <c r="D13" s="22">
        <v>60</v>
      </c>
      <c r="E13" s="7">
        <f>IF(D10=95,D6-92,IF(D10=76,D6-92,IF(D10=80,D6-72,IF(D10=66,D6-72))))</f>
        <v>2908</v>
      </c>
      <c r="F13" s="64">
        <f>(E6/D13+1)*F6</f>
        <v>85.333333333333329</v>
      </c>
      <c r="G13" s="55">
        <f>ROUNDUP(F13/F6,0)</f>
        <v>43</v>
      </c>
      <c r="H13" s="36"/>
      <c r="I13" s="10"/>
      <c r="J13" s="10"/>
      <c r="M13" t="str">
        <f>B6</f>
        <v>GG</v>
      </c>
      <c r="N13" t="s">
        <v>76</v>
      </c>
      <c r="O13">
        <f>D6</f>
        <v>3000</v>
      </c>
      <c r="P13">
        <f>E6</f>
        <v>2500</v>
      </c>
      <c r="Q13">
        <f>F6</f>
        <v>2</v>
      </c>
      <c r="R13" s="50">
        <f>J28</f>
        <v>0</v>
      </c>
    </row>
    <row r="14" spans="2:18" ht="20.25" customHeight="1" thickBot="1" x14ac:dyDescent="0.3">
      <c r="B14" s="124" t="s">
        <v>11</v>
      </c>
      <c r="C14" s="91"/>
      <c r="D14" s="22">
        <f>D13</f>
        <v>60</v>
      </c>
      <c r="E14" s="7">
        <f>E13</f>
        <v>2908</v>
      </c>
      <c r="F14" s="64">
        <f>F6</f>
        <v>2</v>
      </c>
      <c r="G14" s="54">
        <f>F14/F6</f>
        <v>1</v>
      </c>
      <c r="H14" s="36"/>
      <c r="I14" s="10"/>
      <c r="J14" s="10"/>
    </row>
    <row r="15" spans="2:18" ht="20.25" customHeight="1" thickBot="1" x14ac:dyDescent="0.3">
      <c r="B15" s="124" t="s">
        <v>43</v>
      </c>
      <c r="C15" s="91"/>
      <c r="D15" s="22">
        <f>D10</f>
        <v>76</v>
      </c>
      <c r="E15" s="7">
        <f>IF(D11=250,E11+6,E11+10)</f>
        <v>3146</v>
      </c>
      <c r="F15" s="64">
        <f>F6</f>
        <v>2</v>
      </c>
      <c r="G15" s="54">
        <f>F15/F6</f>
        <v>1</v>
      </c>
      <c r="H15" s="36"/>
      <c r="I15" s="10"/>
      <c r="J15" s="10"/>
    </row>
    <row r="16" spans="2:18" ht="20.25" customHeight="1" thickBot="1" x14ac:dyDescent="0.3">
      <c r="B16" s="124" t="s">
        <v>12</v>
      </c>
      <c r="C16" s="91"/>
      <c r="D16" s="22">
        <f>D11</f>
        <v>250</v>
      </c>
      <c r="E16" s="7"/>
      <c r="F16" s="64">
        <f>F6</f>
        <v>2</v>
      </c>
      <c r="G16" s="54">
        <f>F16/F6</f>
        <v>1</v>
      </c>
      <c r="H16" s="36"/>
      <c r="I16" s="10"/>
      <c r="J16" s="10"/>
    </row>
    <row r="17" spans="2:12" ht="20.25" customHeight="1" thickBot="1" x14ac:dyDescent="0.3">
      <c r="B17" s="29" t="s">
        <v>13</v>
      </c>
      <c r="C17" s="30"/>
      <c r="D17" s="22">
        <f>D11</f>
        <v>250</v>
      </c>
      <c r="E17" s="7"/>
      <c r="F17" s="64">
        <f>F6</f>
        <v>2</v>
      </c>
      <c r="G17" s="54">
        <f>F17/F6</f>
        <v>1</v>
      </c>
      <c r="H17" s="37"/>
      <c r="I17" s="10"/>
      <c r="J17" s="10"/>
    </row>
    <row r="18" spans="2:12" ht="20.25" hidden="1" customHeight="1" thickBot="1" x14ac:dyDescent="0.3">
      <c r="B18" s="39"/>
      <c r="C18" s="40"/>
      <c r="D18" s="22"/>
      <c r="E18" s="7"/>
      <c r="F18" s="64"/>
      <c r="G18" s="54">
        <f>F18/F6</f>
        <v>0</v>
      </c>
      <c r="H18" s="37"/>
      <c r="I18" s="10"/>
      <c r="J18" s="10"/>
    </row>
    <row r="19" spans="2:12" ht="20.25" hidden="1" customHeight="1" thickBot="1" x14ac:dyDescent="0.3">
      <c r="B19" s="39"/>
      <c r="C19" s="40"/>
      <c r="D19" s="22"/>
      <c r="E19" s="7"/>
      <c r="F19" s="64"/>
      <c r="G19" s="54">
        <f>F19/F6</f>
        <v>0</v>
      </c>
      <c r="H19" s="37"/>
      <c r="I19" s="10"/>
      <c r="J19" s="10"/>
    </row>
    <row r="20" spans="2:12" ht="20.25" customHeight="1" thickBot="1" x14ac:dyDescent="0.3">
      <c r="B20" s="29" t="s">
        <v>16</v>
      </c>
      <c r="C20" s="30"/>
      <c r="D20" s="22">
        <f>D10</f>
        <v>76</v>
      </c>
      <c r="E20" s="7"/>
      <c r="F20" s="64">
        <f>F6</f>
        <v>2</v>
      </c>
      <c r="G20" s="54">
        <f>F20/F6</f>
        <v>1</v>
      </c>
      <c r="H20" s="37"/>
      <c r="I20" s="10"/>
      <c r="J20" s="10"/>
    </row>
    <row r="21" spans="2:12" ht="20.25" customHeight="1" thickBot="1" x14ac:dyDescent="0.3">
      <c r="B21" s="29" t="s">
        <v>17</v>
      </c>
      <c r="C21" s="30"/>
      <c r="D21" s="22"/>
      <c r="E21" s="7"/>
      <c r="F21" s="64">
        <f>F6</f>
        <v>2</v>
      </c>
      <c r="G21" s="54">
        <f>+IF(B27="MOTEUR",0,1)</f>
        <v>0</v>
      </c>
      <c r="H21" s="37"/>
      <c r="I21" s="10"/>
      <c r="J21" s="10"/>
    </row>
    <row r="22" spans="2:12" ht="20.25" customHeight="1" thickBot="1" x14ac:dyDescent="0.3">
      <c r="B22" s="29" t="s">
        <v>18</v>
      </c>
      <c r="C22" s="30"/>
      <c r="D22" s="22">
        <f>D13</f>
        <v>60</v>
      </c>
      <c r="E22" s="7"/>
      <c r="F22" s="64">
        <f>G22*F6</f>
        <v>12</v>
      </c>
      <c r="G22" s="54">
        <f>ROUNDUP((D6/500),0)</f>
        <v>6</v>
      </c>
      <c r="H22" s="37"/>
      <c r="I22" s="10"/>
      <c r="J22" s="10"/>
    </row>
    <row r="23" spans="2:12" ht="20.25" customHeight="1" thickBot="1" x14ac:dyDescent="0.3">
      <c r="B23" s="29" t="s">
        <v>19</v>
      </c>
      <c r="C23" s="30"/>
      <c r="D23" s="22">
        <f>D12</f>
        <v>80</v>
      </c>
      <c r="E23" s="7"/>
      <c r="F23" s="64">
        <f>F6</f>
        <v>2</v>
      </c>
      <c r="G23" s="54">
        <f>F23/F6</f>
        <v>1</v>
      </c>
      <c r="H23" s="37"/>
      <c r="I23" s="10"/>
      <c r="J23" s="10"/>
    </row>
    <row r="24" spans="2:12" ht="20.25" customHeight="1" thickBot="1" x14ac:dyDescent="0.3">
      <c r="B24" s="124" t="str">
        <f>IF(D11=250,"PLAQUE  SUPPORT GOUPILLE",IF(D11=300,"PLAQUE  SUPPORT GOUPILLE",IF(D11=205,"ROULEMENT A BILLES",IF(D11=180,"ROULEMENT A BILLES"))))</f>
        <v>PLAQUE  SUPPORT GOUPILLE</v>
      </c>
      <c r="C24" s="91"/>
      <c r="D24" s="22">
        <f>IF(D11=250,250,IF(D11=300,300,IF(D11=180,"diam 22",IF(D11=205,"diam 22"))))</f>
        <v>250</v>
      </c>
      <c r="E24" s="7"/>
      <c r="F24" s="64">
        <f>F6</f>
        <v>2</v>
      </c>
      <c r="G24" s="54">
        <f>F24/F6</f>
        <v>1</v>
      </c>
      <c r="H24" s="37"/>
      <c r="I24" s="10"/>
      <c r="J24" s="10"/>
      <c r="L24" s="45"/>
    </row>
    <row r="25" spans="2:12" ht="19.5" customHeight="1" thickBot="1" x14ac:dyDescent="0.3">
      <c r="B25" s="124" t="s">
        <v>20</v>
      </c>
      <c r="C25" s="91"/>
      <c r="D25" s="22">
        <f>1</f>
        <v>1</v>
      </c>
      <c r="E25" s="7"/>
      <c r="F25" s="64">
        <f>F6</f>
        <v>2</v>
      </c>
      <c r="G25" s="54">
        <f>F25/F6</f>
        <v>1</v>
      </c>
      <c r="H25" s="37"/>
      <c r="I25" s="10"/>
      <c r="J25" s="10"/>
      <c r="L25" s="47"/>
    </row>
    <row r="26" spans="2:12" ht="20.25" customHeight="1" thickBot="1" x14ac:dyDescent="0.3">
      <c r="B26" s="29" t="s">
        <v>21</v>
      </c>
      <c r="C26" s="30"/>
      <c r="D26" s="22" t="s">
        <v>22</v>
      </c>
      <c r="E26" s="13"/>
      <c r="F26" s="64">
        <f>F6</f>
        <v>2</v>
      </c>
      <c r="G26" s="54">
        <f>F26/F6</f>
        <v>1</v>
      </c>
      <c r="H26" s="37"/>
      <c r="I26" s="10"/>
      <c r="J26" s="10"/>
      <c r="L26" s="45"/>
    </row>
    <row r="27" spans="2:12" ht="20.25" customHeight="1" thickBot="1" x14ac:dyDescent="0.3">
      <c r="B27" s="122" t="s">
        <v>47</v>
      </c>
      <c r="C27" s="123"/>
      <c r="D27" s="14">
        <v>120</v>
      </c>
      <c r="E27" s="8"/>
      <c r="F27" s="65">
        <f>F6</f>
        <v>2</v>
      </c>
      <c r="G27" s="56">
        <f>F27/F6</f>
        <v>1</v>
      </c>
      <c r="H27" s="37"/>
      <c r="I27" s="10"/>
      <c r="J27" s="10"/>
      <c r="L27" s="47"/>
    </row>
    <row r="28" spans="2:12" ht="15.75" thickTop="1" x14ac:dyDescent="0.25">
      <c r="H28" s="92"/>
      <c r="I28" s="92"/>
      <c r="J28" s="10"/>
    </row>
    <row r="29" spans="2:12" x14ac:dyDescent="0.25">
      <c r="D29" s="26">
        <v>50</v>
      </c>
    </row>
    <row r="30" spans="2:12" x14ac:dyDescent="0.25">
      <c r="J30" s="10"/>
    </row>
    <row r="37" spans="4:4" x14ac:dyDescent="0.25">
      <c r="D37" s="26">
        <v>80</v>
      </c>
    </row>
    <row r="38" spans="4:4" x14ac:dyDescent="0.25">
      <c r="D38" s="26">
        <v>120</v>
      </c>
    </row>
    <row r="52" spans="3:8" ht="15.75" thickBot="1" x14ac:dyDescent="0.3"/>
    <row r="53" spans="3:8" ht="15.75" thickBot="1" x14ac:dyDescent="0.3">
      <c r="C53" s="83"/>
      <c r="D53" s="84"/>
      <c r="E53" s="13" t="s">
        <v>57</v>
      </c>
      <c r="F53" s="13" t="s">
        <v>59</v>
      </c>
      <c r="G53" s="13" t="s">
        <v>87</v>
      </c>
      <c r="H53" s="13" t="s">
        <v>88</v>
      </c>
    </row>
    <row r="54" spans="3:8" ht="15.75" thickBot="1" x14ac:dyDescent="0.3">
      <c r="C54" s="113" t="s">
        <v>95</v>
      </c>
      <c r="D54" s="114"/>
      <c r="E54" s="80">
        <f>IF(D10=66,base!E11,IF(D10=76,base!E12,IF(D10=80,base!E13,IF(D10=95,base!E14))))</f>
        <v>7.5741379310344827</v>
      </c>
      <c r="F54" s="80">
        <f>+E10*F10/1000</f>
        <v>10.504</v>
      </c>
      <c r="G54" s="81">
        <f>H54/F6</f>
        <v>79.55874482758621</v>
      </c>
      <c r="H54" s="81">
        <f>+E54*F54*F6</f>
        <v>159.11748965517242</v>
      </c>
    </row>
    <row r="55" spans="3:8" ht="15.75" thickBot="1" x14ac:dyDescent="0.3">
      <c r="C55" s="13" t="s">
        <v>96</v>
      </c>
      <c r="D55" s="22"/>
      <c r="E55" s="80">
        <f>IF(D11=205,base!E8,IF(D11=180,base!E7,IF(D11=250,base!E9,IF(D11=300,base!E10))))</f>
        <v>24.501724137931038</v>
      </c>
      <c r="F55" s="80">
        <f>E11/100</f>
        <v>31.4</v>
      </c>
      <c r="G55" s="81">
        <f>H55/F6</f>
        <v>769.35413793103453</v>
      </c>
      <c r="H55" s="81">
        <f>E55*F55*F6</f>
        <v>1538.7082758620691</v>
      </c>
    </row>
    <row r="56" spans="3:8" ht="15.75" thickBot="1" x14ac:dyDescent="0.3">
      <c r="C56" s="113" t="s">
        <v>9</v>
      </c>
      <c r="D56" s="114"/>
      <c r="E56" s="80">
        <f>IF(D12=54,base!E15,IF(D12=64,base!E16,IF(D12=80,base!E17)))</f>
        <v>7.5528571428571425</v>
      </c>
      <c r="F56" s="80">
        <f>E12/1000</f>
        <v>2.85</v>
      </c>
      <c r="G56" s="81">
        <f>H56/F6</f>
        <v>21.525642857142856</v>
      </c>
      <c r="H56" s="81">
        <f>E56*F56*F6</f>
        <v>43.051285714285711</v>
      </c>
    </row>
    <row r="57" spans="3:8" ht="15.75" thickBot="1" x14ac:dyDescent="0.3">
      <c r="C57" s="113" t="s">
        <v>10</v>
      </c>
      <c r="D57" s="114"/>
      <c r="E57" s="80">
        <f>IF(D13=45,base!E3,base!E4)</f>
        <v>3.1637931034482762</v>
      </c>
      <c r="F57" s="80">
        <f>E13*G13/1000</f>
        <v>125.044</v>
      </c>
      <c r="G57" s="81">
        <f>H57/F6</f>
        <v>125.044</v>
      </c>
      <c r="H57" s="81">
        <f>F57*F6</f>
        <v>250.08799999999999</v>
      </c>
    </row>
    <row r="58" spans="3:8" ht="15.75" thickBot="1" x14ac:dyDescent="0.3">
      <c r="C58" s="113" t="s">
        <v>11</v>
      </c>
      <c r="D58" s="114"/>
      <c r="E58" s="80">
        <f>IF(D14=45,base!E5,base!E6)</f>
        <v>3.7033333333333331</v>
      </c>
      <c r="F58" s="80">
        <f>E14/1000</f>
        <v>2.9079999999999999</v>
      </c>
      <c r="G58" s="81">
        <f>H58/F6</f>
        <v>10.769293333333332</v>
      </c>
      <c r="H58" s="81">
        <f>F58*E58*F6</f>
        <v>21.538586666666664</v>
      </c>
    </row>
    <row r="59" spans="3:8" ht="15.75" thickBot="1" x14ac:dyDescent="0.3">
      <c r="C59" s="113" t="s">
        <v>12</v>
      </c>
      <c r="D59" s="114"/>
      <c r="E59" s="80">
        <f>IF(D16=205,base!E19,IF(D16=180,base!E18,IF(D16=250,base!E20,IF(D16=300,base!E21))))</f>
        <v>34.69</v>
      </c>
      <c r="F59" s="80"/>
      <c r="G59" s="81">
        <f>E59</f>
        <v>34.69</v>
      </c>
      <c r="H59" s="81">
        <f>G59*F6</f>
        <v>69.38</v>
      </c>
    </row>
    <row r="60" spans="3:8" ht="15.75" thickBot="1" x14ac:dyDescent="0.3">
      <c r="C60" s="13" t="s">
        <v>13</v>
      </c>
      <c r="D60" s="22"/>
      <c r="E60" s="80">
        <f>IF(D17=205,base!E23,IF(D17=180,base!E22,IF(D17=250,base!E24,IF(D17=300,base!E25))))</f>
        <v>0</v>
      </c>
      <c r="F60" s="80"/>
      <c r="G60" s="81">
        <f>E60</f>
        <v>0</v>
      </c>
      <c r="H60" s="81">
        <f>G60*F6</f>
        <v>0</v>
      </c>
    </row>
    <row r="61" spans="3:8" ht="15.75" thickBot="1" x14ac:dyDescent="0.3">
      <c r="C61" s="113" t="s">
        <v>14</v>
      </c>
      <c r="D61" s="114"/>
      <c r="E61" s="80"/>
      <c r="F61" s="80"/>
      <c r="G61" s="81"/>
      <c r="H61" s="81"/>
    </row>
    <row r="62" spans="3:8" ht="15.75" thickBot="1" x14ac:dyDescent="0.3">
      <c r="C62" s="113" t="s">
        <v>15</v>
      </c>
      <c r="D62" s="114"/>
      <c r="E62" s="80"/>
      <c r="F62" s="80"/>
      <c r="G62" s="81"/>
      <c r="H62" s="81"/>
    </row>
    <row r="63" spans="3:8" ht="15.75" thickBot="1" x14ac:dyDescent="0.3">
      <c r="C63" s="113" t="s">
        <v>61</v>
      </c>
      <c r="D63" s="114"/>
      <c r="E63" s="80">
        <f>IF(D20=66,base!E28,IF(D20=76,base!E29,IF(D20=80,base!E30,IF(D20=95,base!E31))))</f>
        <v>5.85</v>
      </c>
      <c r="F63" s="80"/>
      <c r="G63" s="81">
        <f>E63</f>
        <v>5.85</v>
      </c>
      <c r="H63" s="81">
        <f>G63*F6</f>
        <v>11.7</v>
      </c>
    </row>
    <row r="64" spans="3:8" ht="15.75" thickBot="1" x14ac:dyDescent="0.3">
      <c r="C64" s="113" t="s">
        <v>17</v>
      </c>
      <c r="D64" s="114"/>
      <c r="E64" s="80">
        <f>base!E32</f>
        <v>3</v>
      </c>
      <c r="F64" s="80"/>
      <c r="G64" s="81">
        <f>EG21*E64</f>
        <v>0</v>
      </c>
      <c r="H64" s="81">
        <f>G64*F6</f>
        <v>0</v>
      </c>
    </row>
    <row r="65" spans="3:8" ht="15.75" thickBot="1" x14ac:dyDescent="0.3">
      <c r="C65" s="113" t="s">
        <v>18</v>
      </c>
      <c r="D65" s="114"/>
      <c r="E65" s="80">
        <f>IF(D22=45,base!E33,base!E34)</f>
        <v>0.9</v>
      </c>
      <c r="F65" s="80"/>
      <c r="G65" s="81">
        <f>E65*G22</f>
        <v>5.4</v>
      </c>
      <c r="H65" s="81">
        <f>G65*F6</f>
        <v>10.8</v>
      </c>
    </row>
    <row r="66" spans="3:8" ht="15.75" thickBot="1" x14ac:dyDescent="0.3">
      <c r="C66" s="13" t="s">
        <v>19</v>
      </c>
      <c r="D66" s="22"/>
      <c r="E66" s="80">
        <f>IF(D23=54,base!E35,IF(D23=64,base!E36,IF(D23=80,base!E37)))</f>
        <v>0</v>
      </c>
      <c r="F66" s="80"/>
      <c r="G66" s="81">
        <f>E66</f>
        <v>0</v>
      </c>
      <c r="H66" s="81">
        <f>G66*F6</f>
        <v>0</v>
      </c>
    </row>
    <row r="67" spans="3:8" ht="15.75" thickBot="1" x14ac:dyDescent="0.3">
      <c r="C67" s="13" t="str">
        <f>B24</f>
        <v>PLAQUE  SUPPORT GOUPILLE</v>
      </c>
      <c r="D67" s="22"/>
      <c r="E67" s="80">
        <f>IF(D11=180,base!E38,IF(D11=205,base!E38,IF(D11=250,base!E39,IF(D11=300,base!E39))))</f>
        <v>4.87</v>
      </c>
      <c r="F67" s="80"/>
      <c r="G67" s="81">
        <f>E67</f>
        <v>4.87</v>
      </c>
      <c r="H67" s="81">
        <f>G67*F6</f>
        <v>9.74</v>
      </c>
    </row>
    <row r="68" spans="3:8" ht="15.75" thickBot="1" x14ac:dyDescent="0.3">
      <c r="C68" s="113" t="s">
        <v>20</v>
      </c>
      <c r="D68" s="114"/>
      <c r="E68" s="80">
        <f>base!E40</f>
        <v>11.13</v>
      </c>
      <c r="F68" s="80"/>
      <c r="G68" s="81">
        <f>E68</f>
        <v>11.13</v>
      </c>
      <c r="H68" s="81">
        <f>G68*F6</f>
        <v>22.26</v>
      </c>
    </row>
    <row r="69" spans="3:8" ht="15.75" thickBot="1" x14ac:dyDescent="0.3">
      <c r="C69" s="113" t="s">
        <v>21</v>
      </c>
      <c r="D69" s="114"/>
      <c r="E69" s="80">
        <f>base!E41</f>
        <v>14.67</v>
      </c>
      <c r="F69" s="80"/>
      <c r="G69" s="81">
        <f>E69</f>
        <v>14.67</v>
      </c>
      <c r="H69" s="81">
        <f>G69*F6</f>
        <v>29.34</v>
      </c>
    </row>
    <row r="70" spans="3:8" ht="15.75" thickBot="1" x14ac:dyDescent="0.3">
      <c r="C70" s="13" t="s">
        <v>100</v>
      </c>
      <c r="D70" s="22"/>
      <c r="E70" s="80">
        <f>IF(D27=30,base!E42,IF(D27=50,base!E43,IF(D27=80,base!E44,IF(D27=120,base!E45))))</f>
        <v>204.67</v>
      </c>
      <c r="F70" s="80"/>
      <c r="G70" s="81">
        <f>E70</f>
        <v>204.67</v>
      </c>
      <c r="H70" s="81">
        <f>G70*F6</f>
        <v>409.34</v>
      </c>
    </row>
    <row r="71" spans="3:8" ht="15.75" thickBot="1" x14ac:dyDescent="0.3">
      <c r="C71" s="115" t="s">
        <v>43</v>
      </c>
      <c r="D71" s="115"/>
      <c r="E71" s="80">
        <f>base!E46</f>
        <v>54</v>
      </c>
      <c r="F71" s="80">
        <f>E15/1000</f>
        <v>3.1459999999999999</v>
      </c>
      <c r="G71" s="81">
        <f>F71*E71</f>
        <v>169.88399999999999</v>
      </c>
      <c r="H71" s="81">
        <f>G71*F6</f>
        <v>339.76799999999997</v>
      </c>
    </row>
    <row r="72" spans="3:8" x14ac:dyDescent="0.25">
      <c r="G72" s="50">
        <f>SUM(G54:G71)</f>
        <v>1457.415818949097</v>
      </c>
      <c r="H72" s="50">
        <f>SUM(H54:H71)</f>
        <v>2914.831637898194</v>
      </c>
    </row>
  </sheetData>
  <mergeCells count="28">
    <mergeCell ref="B25:C25"/>
    <mergeCell ref="B14:C14"/>
    <mergeCell ref="B24:C24"/>
    <mergeCell ref="B11:C11"/>
    <mergeCell ref="B12:C12"/>
    <mergeCell ref="B13:C13"/>
    <mergeCell ref="B15:C15"/>
    <mergeCell ref="B16:C16"/>
    <mergeCell ref="C3:E3"/>
    <mergeCell ref="B5:C5"/>
    <mergeCell ref="B6:C6"/>
    <mergeCell ref="B9:D9"/>
    <mergeCell ref="B10:C10"/>
    <mergeCell ref="C54:D54"/>
    <mergeCell ref="C56:D56"/>
    <mergeCell ref="C57:D57"/>
    <mergeCell ref="H28:I28"/>
    <mergeCell ref="B27:C27"/>
    <mergeCell ref="C58:D58"/>
    <mergeCell ref="C59:D59"/>
    <mergeCell ref="C61:D61"/>
    <mergeCell ref="C62:D62"/>
    <mergeCell ref="C63:D63"/>
    <mergeCell ref="C64:D64"/>
    <mergeCell ref="C65:D65"/>
    <mergeCell ref="C68:D68"/>
    <mergeCell ref="C69:D69"/>
    <mergeCell ref="C71:D71"/>
  </mergeCells>
  <pageMargins left="0.11811023622047245" right="0" top="0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imprimer">
                <anchor moveWithCells="1">
                  <from>
                    <xdr:col>7</xdr:col>
                    <xdr:colOff>9525</xdr:colOff>
                    <xdr:row>1</xdr:row>
                    <xdr:rowOff>9525</xdr:rowOff>
                  </from>
                  <to>
                    <xdr:col>8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macro8">
                <anchor moveWithCells="1" sizeWithCells="1">
                  <from>
                    <xdr:col>14</xdr:col>
                    <xdr:colOff>9525</xdr:colOff>
                    <xdr:row>14</xdr:row>
                    <xdr:rowOff>38100</xdr:rowOff>
                  </from>
                  <to>
                    <xdr:col>16</xdr:col>
                    <xdr:colOff>733425</xdr:colOff>
                    <xdr:row>16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Feuil1</vt:lpstr>
      <vt:lpstr>Feuil2</vt:lpstr>
      <vt:lpstr>Feuil3</vt:lpstr>
      <vt:lpstr>Feuil5</vt:lpstr>
      <vt:lpstr>base</vt:lpstr>
      <vt:lpstr>Feuil1bis</vt:lpstr>
      <vt:lpstr>Feuil2bis</vt:lpstr>
      <vt:lpstr>Feuil3bis</vt:lpstr>
      <vt:lpstr>Feuil5bis</vt:lpstr>
      <vt:lpstr>base!Zone_d_impression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Vostro</dc:creator>
  <cp:lastModifiedBy>Linda</cp:lastModifiedBy>
  <cp:lastPrinted>2010-06-15T19:55:11Z</cp:lastPrinted>
  <dcterms:created xsi:type="dcterms:W3CDTF">2010-04-30T13:38:52Z</dcterms:created>
  <dcterms:modified xsi:type="dcterms:W3CDTF">2019-08-30T17:18:31Z</dcterms:modified>
</cp:coreProperties>
</file>