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eph.elame\Documents\DIEX\Opérations\"/>
    </mc:Choice>
  </mc:AlternateContent>
  <bookViews>
    <workbookView xWindow="0" yWindow="0" windowWidth="23040" windowHeight="8292"/>
  </bookViews>
  <sheets>
    <sheet name="AU PORT  AEROPORT" sheetId="1" r:id="rId1"/>
    <sheet name="TBord" sheetId="15" r:id="rId2"/>
  </sheets>
  <definedNames>
    <definedName name="_xlnm._FilterDatabase" localSheetId="0" hidden="1">'AU PORT  AEROPORT'!$A$4:$X$38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1" l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Q50" i="1"/>
  <c r="T49" i="1"/>
  <c r="Q51" i="1"/>
  <c r="Q52" i="1"/>
  <c r="Q53" i="1"/>
  <c r="P56" i="1"/>
  <c r="V18" i="1" s="1"/>
  <c r="P20" i="1"/>
  <c r="L51" i="1"/>
  <c r="V25" i="1"/>
  <c r="V26" i="1"/>
  <c r="W24" i="1"/>
  <c r="W25" i="1" s="1"/>
  <c r="V10" i="1" l="1"/>
  <c r="U43" i="1"/>
  <c r="K43" i="1" l="1"/>
  <c r="W28" i="1" l="1"/>
  <c r="P5" i="1"/>
  <c r="V5" i="1" s="1"/>
  <c r="P6" i="1"/>
  <c r="P7" i="1"/>
  <c r="W7" i="1" s="1"/>
  <c r="P8" i="1"/>
  <c r="P9" i="1"/>
  <c r="P10" i="1"/>
  <c r="P11" i="1"/>
  <c r="W11" i="1" s="1"/>
  <c r="P12" i="1"/>
  <c r="W12" i="1" s="1"/>
  <c r="P13" i="1"/>
  <c r="P14" i="1"/>
  <c r="W14" i="1" s="1"/>
  <c r="P15" i="1"/>
  <c r="W15" i="1" s="1"/>
  <c r="P16" i="1"/>
  <c r="W16" i="1" s="1"/>
  <c r="P17" i="1"/>
  <c r="W17" i="1" s="1"/>
  <c r="P18" i="1"/>
  <c r="P19" i="1"/>
  <c r="W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43" i="1" l="1"/>
  <c r="V38" i="1"/>
  <c r="W38" i="1"/>
  <c r="V37" i="1"/>
  <c r="W37" i="1"/>
  <c r="V36" i="1"/>
  <c r="W36" i="1"/>
  <c r="V35" i="1"/>
  <c r="W35" i="1"/>
  <c r="V34" i="1"/>
  <c r="W34" i="1"/>
  <c r="V32" i="1"/>
  <c r="W32" i="1"/>
  <c r="V30" i="1"/>
  <c r="W30" i="1"/>
  <c r="V29" i="1"/>
  <c r="W29" i="1"/>
  <c r="V27" i="1"/>
  <c r="W27" i="1"/>
  <c r="W23" i="1"/>
  <c r="V23" i="1"/>
  <c r="W22" i="1"/>
  <c r="V22" i="1"/>
  <c r="V21" i="1"/>
  <c r="W21" i="1"/>
  <c r="V20" i="1"/>
  <c r="W13" i="1"/>
  <c r="V13" i="1"/>
  <c r="V15" i="1"/>
  <c r="V17" i="1"/>
  <c r="V11" i="1"/>
  <c r="V14" i="1"/>
  <c r="V16" i="1"/>
  <c r="V7" i="1"/>
  <c r="W8" i="1"/>
  <c r="V8" i="1"/>
  <c r="V6" i="1"/>
  <c r="W6" i="1"/>
  <c r="W5" i="1"/>
  <c r="W43" i="1" l="1"/>
  <c r="V43" i="1"/>
  <c r="L43" i="1"/>
  <c r="J43" i="1"/>
  <c r="I43" i="1"/>
  <c r="T43" i="1" l="1"/>
  <c r="X43" i="1"/>
</calcChain>
</file>

<file path=xl/comments1.xml><?xml version="1.0" encoding="utf-8"?>
<comments xmlns="http://schemas.openxmlformats.org/spreadsheetml/2006/main">
  <authors>
    <author>Joseph Blaise Dooh Elame</author>
  </authors>
  <commentList>
    <comment ref="X7" authorId="0" shapeId="0">
      <text>
        <r>
          <rPr>
            <b/>
            <sz val="9"/>
            <color indexed="81"/>
            <rFont val="Tahoma"/>
            <family val="2"/>
          </rPr>
          <t>Joseph Blaise Dooh Elame:</t>
        </r>
        <r>
          <rPr>
            <sz val="9"/>
            <color indexed="81"/>
            <rFont val="Tahoma"/>
            <family val="2"/>
          </rPr>
          <t xml:space="preserve">
payés</t>
        </r>
      </text>
    </comment>
    <comment ref="X13" authorId="0" shapeId="0">
      <text>
        <r>
          <rPr>
            <b/>
            <sz val="9"/>
            <color indexed="81"/>
            <rFont val="Tahoma"/>
            <family val="2"/>
          </rPr>
          <t>Joseph Blaise Dooh Elame:</t>
        </r>
        <r>
          <rPr>
            <sz val="9"/>
            <color indexed="81"/>
            <rFont val="Tahoma"/>
            <family val="2"/>
          </rPr>
          <t xml:space="preserve">
payés</t>
        </r>
      </text>
    </comment>
    <comment ref="X19" authorId="0" shapeId="0">
      <text>
        <r>
          <rPr>
            <b/>
            <sz val="9"/>
            <color indexed="81"/>
            <rFont val="Tahoma"/>
            <family val="2"/>
          </rPr>
          <t>Joseph Blaise Dooh Elame:</t>
        </r>
        <r>
          <rPr>
            <sz val="9"/>
            <color indexed="81"/>
            <rFont val="Tahoma"/>
            <family val="2"/>
          </rPr>
          <t xml:space="preserve">
payés</t>
        </r>
      </text>
    </comment>
    <comment ref="X31" authorId="0" shapeId="0">
      <text>
        <r>
          <rPr>
            <b/>
            <sz val="9"/>
            <color indexed="81"/>
            <rFont val="Tahoma"/>
            <family val="2"/>
          </rPr>
          <t>Joseph Blaise Dooh Elame:</t>
        </r>
        <r>
          <rPr>
            <sz val="9"/>
            <color indexed="81"/>
            <rFont val="Tahoma"/>
            <family val="2"/>
          </rPr>
          <t xml:space="preserve">
payés</t>
        </r>
      </text>
    </comment>
  </commentList>
</comments>
</file>

<file path=xl/sharedStrings.xml><?xml version="1.0" encoding="utf-8"?>
<sst xmlns="http://schemas.openxmlformats.org/spreadsheetml/2006/main" count="391" uniqueCount="184">
  <si>
    <t>DATE  OT</t>
  </si>
  <si>
    <t>N° OT</t>
  </si>
  <si>
    <t>N° CDE</t>
  </si>
  <si>
    <t>N° DI</t>
  </si>
  <si>
    <t>DESIGNATION</t>
  </si>
  <si>
    <t>COLISAGE</t>
  </si>
  <si>
    <t>DATE DOCUMENTS ORIGINAUX</t>
  </si>
  <si>
    <t>DATE ARRIVEE NAVIRE/VOL</t>
  </si>
  <si>
    <t>LIEU DE LIVRAISON</t>
  </si>
  <si>
    <t>STATUTS</t>
  </si>
  <si>
    <t>Droits de Douanes</t>
  </si>
  <si>
    <t>CAMAS</t>
  </si>
  <si>
    <t>EAGLE</t>
  </si>
  <si>
    <t>BASSA</t>
  </si>
  <si>
    <t>FOURNISSEUR</t>
  </si>
  <si>
    <t>LIGNE MARITIME</t>
  </si>
  <si>
    <t>SAPEM                                                                                                                         TRADOMA</t>
  </si>
  <si>
    <t>CODIREL France</t>
  </si>
  <si>
    <t>SAFMARINE</t>
  </si>
  <si>
    <t>SGS-20501-03</t>
  </si>
  <si>
    <t>13/06/18                                                                                                                 06/03/19</t>
  </si>
  <si>
    <t xml:space="preserve">DISJONCTEURS                                                                      ISOLATEURS RIGIDES                                                                      PARAFOUDRE                    IACM                               BASE COUPE-CIRCUIT COLLIER BACC </t>
  </si>
  <si>
    <t>1TC 40'                                                                  1TC 20'</t>
  </si>
  <si>
    <t>TRADOMA</t>
  </si>
  <si>
    <t>1712217438                                                                                                                                                        1802221579                                                                                                        1803222070</t>
  </si>
  <si>
    <t xml:space="preserve">TABLEAU BT ALU                                                                     ISOLATEURS RIGIDES                                                                 VIS A BOIS TETE FRAISEE FENDUE                     NEUTRE TRIPLE                               BASE COUPE-CIRCUIT COLLIER BACC </t>
  </si>
  <si>
    <t xml:space="preserve">1TC 40'                                                                  </t>
  </si>
  <si>
    <t>HEXING ELECTRICAL</t>
  </si>
  <si>
    <t>SGS-20579-86</t>
  </si>
  <si>
    <t>SCHNEIDER ELECTRIC</t>
  </si>
  <si>
    <t>CELLULES</t>
  </si>
  <si>
    <t>1TC 40'</t>
  </si>
  <si>
    <t>MAERSK LINE</t>
  </si>
  <si>
    <t>CSE</t>
  </si>
  <si>
    <t>MAEC CAHORS</t>
  </si>
  <si>
    <t>MSC</t>
  </si>
  <si>
    <t>SGS-20539-80</t>
  </si>
  <si>
    <t>PINCE ANCRAGE</t>
  </si>
  <si>
    <t>NILE DUTCH</t>
  </si>
  <si>
    <t>SGS-20539-80                                                   SGS-20550-00</t>
  </si>
  <si>
    <t>PINCE ANCRAGE- ARMOIRES MT/BT</t>
  </si>
  <si>
    <t>1802220466                                                           1802221407</t>
  </si>
  <si>
    <t>SGS-20547-08</t>
  </si>
  <si>
    <t>DISTRIBUTEUR SEUL</t>
  </si>
  <si>
    <t>1801220466                                                 1802220568                                     1802221407</t>
  </si>
  <si>
    <t>ARMOIRE COMPTAGE BT/MT ET P.A GALVANISE</t>
  </si>
  <si>
    <t>2TC 40'</t>
  </si>
  <si>
    <t>APM</t>
  </si>
  <si>
    <t>SGS-20582-92</t>
  </si>
  <si>
    <t>CELLULE IM/PM 36KV 12,5KA JDB 630A</t>
  </si>
  <si>
    <t>SGS-20665-56</t>
  </si>
  <si>
    <t>ABB ELECTRICAL</t>
  </si>
  <si>
    <t>UN IGEAR SWITCHGEAR</t>
  </si>
  <si>
    <t>1TC 20'</t>
  </si>
  <si>
    <t>SGS-20665-20</t>
  </si>
  <si>
    <t>SWITCHEAR 33KV 1250A 25KA ZS2</t>
  </si>
  <si>
    <t>DANMAR LINES</t>
  </si>
  <si>
    <t>10 PALETTES</t>
  </si>
  <si>
    <t>SGS-20767-57</t>
  </si>
  <si>
    <t>ITRON France</t>
  </si>
  <si>
    <t xml:space="preserve">COMPTEUR ELECTRONIQUE </t>
  </si>
  <si>
    <t>EN ATTENTE D'ENLEVEMENT DIRECT</t>
  </si>
  <si>
    <t>SGS-20690-71</t>
  </si>
  <si>
    <t>COMPTEUR INTELLIGENT TYPE ACE6000S</t>
  </si>
  <si>
    <t>BOLLORE</t>
  </si>
  <si>
    <t>EN ATTENTE D'ENLEVEMENT</t>
  </si>
  <si>
    <t>IEE</t>
  </si>
  <si>
    <t>LEM</t>
  </si>
  <si>
    <t>BOBO</t>
  </si>
  <si>
    <t>SGS-20802-16</t>
  </si>
  <si>
    <t>CELLULE SM6 24KV 400A TYPE IM12</t>
  </si>
  <si>
    <t>CMA</t>
  </si>
  <si>
    <t>EN ATTENTE PAIEMENT DES DD ET SURESTARIES</t>
  </si>
  <si>
    <t>SGS-20750-05</t>
  </si>
  <si>
    <t xml:space="preserve">METER BOX WITH THREE PHASE 4WIRES </t>
  </si>
  <si>
    <t>7TC 40'</t>
  </si>
  <si>
    <t>EN ATTENTE PAIEMENT FOURNISSEUR/ DD/ SURESTARIES</t>
  </si>
  <si>
    <t>SGS-20831-39</t>
  </si>
  <si>
    <t>JWK</t>
  </si>
  <si>
    <t>FOURNITURE PRODUITS DESICANT ACTIGEL</t>
  </si>
  <si>
    <t>1 PALETTE</t>
  </si>
  <si>
    <t>NES TRANSIT</t>
  </si>
  <si>
    <t>SGS-20824-68</t>
  </si>
  <si>
    <t>CML SRL</t>
  </si>
  <si>
    <t>POTEAU METALLIQUE</t>
  </si>
  <si>
    <t>PROJET NOMAYOS</t>
  </si>
  <si>
    <t>EN ATTENTE ENLEVEMENT</t>
  </si>
  <si>
    <t>N° BL</t>
  </si>
  <si>
    <t>MEDULE 837009</t>
  </si>
  <si>
    <t>MEDUNA 875057</t>
  </si>
  <si>
    <t>SGS-20802-37</t>
  </si>
  <si>
    <t>FUSIBLE A EXPULSION MT 6A/2A/3A IBER /ESP</t>
  </si>
  <si>
    <t>1 PALETTTE</t>
  </si>
  <si>
    <t>1808234099                          1808234221                          1808234207</t>
  </si>
  <si>
    <t>SGS-20802-75                                         SGS-20713-16</t>
  </si>
  <si>
    <t xml:space="preserve">CARTOUCHE FUSIBLE TABLEAU SM6 </t>
  </si>
  <si>
    <t>2 TC 40'</t>
  </si>
  <si>
    <t>LHV1998002</t>
  </si>
  <si>
    <t>1808234158                            1808234218                     1808234824</t>
  </si>
  <si>
    <t>SGS-20713-16</t>
  </si>
  <si>
    <t>MATERIEL ELECTRIQUE DIVERS</t>
  </si>
  <si>
    <t>1804225326                           1804225353</t>
  </si>
  <si>
    <t>SGS-20699-79                                      SGS-20700-48</t>
  </si>
  <si>
    <t>CELLULE DE COMPTAGE</t>
  </si>
  <si>
    <t>05 TC 40'</t>
  </si>
  <si>
    <t xml:space="preserve">1712217568              1801219964               1808234217                 1806229084                        1801219966                         1805226416         </t>
  </si>
  <si>
    <t>SGS-20697-01                             SGS-20613-73                              SGS-20469-81                            SGS-20582-63                            SGS-20713-16                        SGS-20700-12                                        SGS-20549-99</t>
  </si>
  <si>
    <t>3TC 40'</t>
  </si>
  <si>
    <t>PROJET CAN 2019</t>
  </si>
  <si>
    <t>1812243868                                         1808234507</t>
  </si>
  <si>
    <t>SGS-20824-73</t>
  </si>
  <si>
    <t>INES</t>
  </si>
  <si>
    <t>DISJONCTEURS HAUT DE POTEAU</t>
  </si>
  <si>
    <t>CSA0233843</t>
  </si>
  <si>
    <t>1802234507                   1812243863                          1812243868                 1812244152</t>
  </si>
  <si>
    <t>TIRE FOND/ FERREUR DE TETE/ PIQUET DE TETE</t>
  </si>
  <si>
    <t>1TC 40'                       1TC 20'</t>
  </si>
  <si>
    <t>CSA0233944</t>
  </si>
  <si>
    <t>SINETRANS</t>
  </si>
  <si>
    <t>1804225114               1803222213              1803222212</t>
  </si>
  <si>
    <t>SGS-20698-32                          SGS-20697-90                        SGS-20698-07</t>
  </si>
  <si>
    <t>COMPTEUR ELECTRONIQUE TYPE EM211 ETT EM214</t>
  </si>
  <si>
    <t>LHV1992614</t>
  </si>
  <si>
    <t xml:space="preserve">1804225114                   1803222213    </t>
  </si>
  <si>
    <t>EN ATTENTE PAIEMENT DD ET SURESTARIES</t>
  </si>
  <si>
    <t>DJAO444341</t>
  </si>
  <si>
    <t>WEWA085534</t>
  </si>
  <si>
    <t>WEWA084812</t>
  </si>
  <si>
    <t>WEWA082867</t>
  </si>
  <si>
    <t>ISTI8013467</t>
  </si>
  <si>
    <t>MAEU966299583</t>
  </si>
  <si>
    <t>1801219959             1712217586</t>
  </si>
  <si>
    <t>SGS-20524-82                              SGS-20484-90</t>
  </si>
  <si>
    <t>TABLEAU TUR 4-800</t>
  </si>
  <si>
    <t>1712217563              1712217586              1712217568</t>
  </si>
  <si>
    <t>SGS-20496-14                       SGS-20469-81</t>
  </si>
  <si>
    <t>DISTRIBUTEUR ETAGE</t>
  </si>
  <si>
    <t>1712217563                       1801219969</t>
  </si>
  <si>
    <t>SGS-20496-14                       SGS-20524-68</t>
  </si>
  <si>
    <t>DISTRIBUTEUR ETAGE BASE C/C</t>
  </si>
  <si>
    <t>1 TC 40'</t>
  </si>
  <si>
    <t>1712217563                                         1712217586                               1712217568</t>
  </si>
  <si>
    <t>SGS-20484-90                                           SGS-20471-32</t>
  </si>
  <si>
    <t>COFFRETS MAJ REDUIT</t>
  </si>
  <si>
    <t>MARGUISA</t>
  </si>
  <si>
    <t>MGS-018609</t>
  </si>
  <si>
    <t>MAEU 968408789</t>
  </si>
  <si>
    <t>FOURNITURE SUPPORT</t>
  </si>
  <si>
    <t>REFUS D'ENLEVEMENT DIRECT/  PAIEMENT DES DD</t>
  </si>
  <si>
    <t>MAEU968328257</t>
  </si>
  <si>
    <t>MAEU968129172</t>
  </si>
  <si>
    <t>DD PAYES</t>
  </si>
  <si>
    <t>RVC PAS DISPONIBLE</t>
  </si>
  <si>
    <t xml:space="preserve">SUREST. </t>
  </si>
  <si>
    <t xml:space="preserve">STAT. </t>
  </si>
  <si>
    <t>MONTANT PO</t>
  </si>
  <si>
    <t>20'</t>
  </si>
  <si>
    <t>Pal</t>
  </si>
  <si>
    <t>SGS-20698-32           SGS-20697-90</t>
  </si>
  <si>
    <t>CAD</t>
  </si>
  <si>
    <t>ETAT DES CARGAISONS EN ATTENTE AU PORT ou AEROPORT</t>
  </si>
  <si>
    <t>DELAI D'ATTENTE</t>
  </si>
  <si>
    <t>SGS-20875-73</t>
  </si>
  <si>
    <t>SAGEMCOM</t>
  </si>
  <si>
    <t>COMPTEUR INTELLIGENT 4FILS 5-100A</t>
  </si>
  <si>
    <t>AERIEN</t>
  </si>
  <si>
    <t>ENEO</t>
  </si>
  <si>
    <t>EN ATTENTE LIVRAISON</t>
  </si>
  <si>
    <t>MAEU606342507</t>
  </si>
  <si>
    <t>057-81770732</t>
  </si>
  <si>
    <t>Priorité</t>
  </si>
  <si>
    <t>Medium</t>
  </si>
  <si>
    <t>High</t>
  </si>
  <si>
    <t>Low</t>
  </si>
  <si>
    <t>Stationnement</t>
  </si>
  <si>
    <t>Surestaries</t>
  </si>
  <si>
    <t>MONTANT PO2</t>
  </si>
  <si>
    <t>Ctx</t>
  </si>
  <si>
    <t>69 PALETTES</t>
  </si>
  <si>
    <t>2P</t>
  </si>
  <si>
    <t>69P</t>
  </si>
  <si>
    <t>10P</t>
  </si>
  <si>
    <t>54 TC +81 P</t>
  </si>
  <si>
    <t>Vente aux enchères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</si>
</sst>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b/>
      <sz val="9"/>
      <color theme="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10"/>
      <name val="Verdana"/>
      <family val="2"/>
    </font>
    <font>
      <b/>
      <sz val="12"/>
      <name val="Verdana"/>
      <family val="2"/>
    </font>
    <font>
      <sz val="9"/>
      <name val="Verdana"/>
      <family val="2"/>
    </font>
    <font>
      <sz val="9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4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3" fontId="2" fillId="0" borderId="0" xfId="0" applyNumberFormat="1" applyFont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 wrapText="1"/>
    </xf>
    <xf numFmtId="0" fontId="6" fillId="0" borderId="0" xfId="0" applyFont="1"/>
    <xf numFmtId="14" fontId="7" fillId="4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1" fontId="7" fillId="0" borderId="0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3" fontId="1" fillId="0" borderId="8" xfId="0" applyNumberFormat="1" applyFont="1" applyBorder="1" applyAlignment="1">
      <alignment horizontal="center" vertical="center"/>
    </xf>
    <xf numFmtId="3" fontId="7" fillId="0" borderId="0" xfId="0" applyNumberFormat="1" applyFont="1" applyBorder="1" applyAlignment="1">
      <alignment vertical="center"/>
    </xf>
    <xf numFmtId="3" fontId="2" fillId="2" borderId="4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3" fontId="2" fillId="0" borderId="10" xfId="0" applyNumberFormat="1" applyFont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3" fontId="3" fillId="3" borderId="12" xfId="0" applyNumberFormat="1" applyFont="1" applyFill="1" applyBorder="1" applyAlignment="1">
      <alignment horizontal="center" vertical="center" wrapText="1"/>
    </xf>
    <xf numFmtId="3" fontId="3" fillId="3" borderId="13" xfId="0" applyNumberFormat="1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3" fontId="2" fillId="0" borderId="5" xfId="0" applyNumberFormat="1" applyFont="1" applyBorder="1" applyAlignment="1">
      <alignment horizontal="center" vertical="center" wrapText="1"/>
    </xf>
    <xf numFmtId="3" fontId="2" fillId="0" borderId="6" xfId="0" applyNumberFormat="1" applyFont="1" applyBorder="1" applyAlignment="1">
      <alignment horizontal="center" vertical="center" wrapText="1"/>
    </xf>
    <xf numFmtId="14" fontId="9" fillId="4" borderId="4" xfId="0" applyNumberFormat="1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 wrapText="1"/>
    </xf>
    <xf numFmtId="1" fontId="9" fillId="0" borderId="4" xfId="0" applyNumberFormat="1" applyFont="1" applyBorder="1" applyAlignment="1">
      <alignment horizontal="right" vertical="center"/>
    </xf>
    <xf numFmtId="3" fontId="2" fillId="0" borderId="0" xfId="0" applyNumberFormat="1" applyFont="1" applyAlignment="1">
      <alignment horizontal="left" vertical="center"/>
    </xf>
    <xf numFmtId="3" fontId="2" fillId="0" borderId="0" xfId="0" applyNumberFormat="1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3" fontId="2" fillId="0" borderId="4" xfId="0" applyNumberFormat="1" applyFont="1" applyBorder="1" applyAlignment="1">
      <alignment horizontal="left" vertical="center" wrapText="1"/>
    </xf>
    <xf numFmtId="0" fontId="2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3" fontId="2" fillId="2" borderId="0" xfId="0" applyNumberFormat="1" applyFont="1" applyFill="1" applyAlignment="1">
      <alignment horizontal="center" vertical="center"/>
    </xf>
    <xf numFmtId="3" fontId="9" fillId="2" borderId="4" xfId="0" applyNumberFormat="1" applyFont="1" applyFill="1" applyBorder="1" applyAlignment="1">
      <alignment vertical="center"/>
    </xf>
    <xf numFmtId="3" fontId="2" fillId="2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3" formatCode="#,##0"/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Verdana"/>
        <scheme val="none"/>
      </font>
      <numFmt numFmtId="3" formatCode="#,##0"/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none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u="sng"/>
              <a:t>Délai moyen d'attente par armateur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none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noFill/>
            <a:ln w="25400" cap="flat" cmpd="sng" algn="ctr">
              <a:solidFill>
                <a:schemeClr val="accent1"/>
              </a:solidFill>
              <a:miter lim="800000"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'AU PORT  AEROPORT'!$M$57:$M$66</c:f>
              <c:strCache>
                <c:ptCount val="10"/>
                <c:pt idx="0">
                  <c:v>AERIEN</c:v>
                </c:pt>
                <c:pt idx="1">
                  <c:v>BOLLORE</c:v>
                </c:pt>
                <c:pt idx="2">
                  <c:v>CMA</c:v>
                </c:pt>
                <c:pt idx="3">
                  <c:v>DANMAR LINES</c:v>
                </c:pt>
                <c:pt idx="4">
                  <c:v>EAGLE</c:v>
                </c:pt>
                <c:pt idx="5">
                  <c:v>MAERSK LINE</c:v>
                </c:pt>
                <c:pt idx="6">
                  <c:v>MARGUISA</c:v>
                </c:pt>
                <c:pt idx="7">
                  <c:v>MSC</c:v>
                </c:pt>
                <c:pt idx="8">
                  <c:v>NILE DUTCH</c:v>
                </c:pt>
                <c:pt idx="9">
                  <c:v>SAFMARINE</c:v>
                </c:pt>
              </c:strCache>
            </c:strRef>
          </c:cat>
          <c:val>
            <c:numRef>
              <c:f>'AU PORT  AEROPORT'!$N$57:$N$66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5</c:v>
                </c:pt>
                <c:pt idx="3">
                  <c:v>1</c:v>
                </c:pt>
                <c:pt idx="4">
                  <c:v>0</c:v>
                </c:pt>
                <c:pt idx="5">
                  <c:v>11</c:v>
                </c:pt>
                <c:pt idx="6">
                  <c:v>7</c:v>
                </c:pt>
                <c:pt idx="7">
                  <c:v>8</c:v>
                </c:pt>
                <c:pt idx="8">
                  <c:v>6</c:v>
                </c:pt>
                <c:pt idx="9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74-4217-94CB-DA72949ACBA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64"/>
        <c:axId val="469494936"/>
        <c:axId val="46949296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'AU PORT  AEROPORT'!$M$57:$M$66</c:f>
              <c:strCache>
                <c:ptCount val="10"/>
                <c:pt idx="0">
                  <c:v>AERIEN</c:v>
                </c:pt>
                <c:pt idx="1">
                  <c:v>BOLLORE</c:v>
                </c:pt>
                <c:pt idx="2">
                  <c:v>CMA</c:v>
                </c:pt>
                <c:pt idx="3">
                  <c:v>DANMAR LINES</c:v>
                </c:pt>
                <c:pt idx="4">
                  <c:v>EAGLE</c:v>
                </c:pt>
                <c:pt idx="5">
                  <c:v>MAERSK LINE</c:v>
                </c:pt>
                <c:pt idx="6">
                  <c:v>MARGUISA</c:v>
                </c:pt>
                <c:pt idx="7">
                  <c:v>MSC</c:v>
                </c:pt>
                <c:pt idx="8">
                  <c:v>NILE DUTCH</c:v>
                </c:pt>
                <c:pt idx="9">
                  <c:v>SAFMARINE</c:v>
                </c:pt>
              </c:strCache>
            </c:strRef>
          </c:cat>
          <c:val>
            <c:numRef>
              <c:f>'AU PORT  AEROPORT'!$O$57:$O$66</c:f>
              <c:numCache>
                <c:formatCode>General</c:formatCode>
                <c:ptCount val="10"/>
                <c:pt idx="0">
                  <c:v>68</c:v>
                </c:pt>
                <c:pt idx="1">
                  <c:v>72</c:v>
                </c:pt>
                <c:pt idx="2">
                  <c:v>78</c:v>
                </c:pt>
                <c:pt idx="3">
                  <c:v>176</c:v>
                </c:pt>
                <c:pt idx="4">
                  <c:v>50</c:v>
                </c:pt>
                <c:pt idx="5">
                  <c:v>114</c:v>
                </c:pt>
                <c:pt idx="6">
                  <c:v>227</c:v>
                </c:pt>
                <c:pt idx="7">
                  <c:v>74</c:v>
                </c:pt>
                <c:pt idx="8">
                  <c:v>127</c:v>
                </c:pt>
                <c:pt idx="9">
                  <c:v>232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74-4217-94CB-DA72949ACB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8724912"/>
        <c:axId val="458724584"/>
      </c:lineChart>
      <c:catAx>
        <c:axId val="469494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25400"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492968"/>
        <c:crosses val="autoZero"/>
        <c:auto val="1"/>
        <c:lblAlgn val="ctr"/>
        <c:lblOffset val="100"/>
        <c:noMultiLvlLbl val="0"/>
      </c:catAx>
      <c:valAx>
        <c:axId val="46949296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494936"/>
        <c:crosses val="autoZero"/>
        <c:crossBetween val="between"/>
      </c:valAx>
      <c:valAx>
        <c:axId val="45872458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724912"/>
        <c:crosses val="max"/>
        <c:crossBetween val="between"/>
      </c:valAx>
      <c:catAx>
        <c:axId val="4587249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58724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noFill/>
          <a:ln w="25400" cap="flat" cmpd="sng" algn="ctr">
            <a:solidFill>
              <a:schemeClr val="accent1"/>
            </a:solidFill>
            <a:miter lim="800000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noFill/>
          <a:ln w="25400" cap="flat" cmpd="sng" algn="ctr">
            <a:solidFill>
              <a:schemeClr val="accent1"/>
            </a:solidFill>
            <a:miter lim="800000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noFill/>
          <a:ln w="25400" cap="flat" cmpd="sng" algn="ctr">
            <a:solidFill>
              <a:schemeClr val="accent1"/>
            </a:solidFill>
            <a:miter lim="800000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2.9906734959100987E-2"/>
          <c:y val="8.8734567901234573E-2"/>
          <c:w val="0.93316889605666753"/>
          <c:h val="0.80681564110041804"/>
        </c:manualLayout>
      </c:layout>
      <c:barChart>
        <c:barDir val="col"/>
        <c:grouping val="clustered"/>
        <c:varyColors val="0"/>
        <c:ser>
          <c:idx val="0"/>
          <c:order val="0"/>
          <c:tx>
            <c:v>Somme de 20'</c:v>
          </c:tx>
          <c:spPr>
            <a:noFill/>
            <a:ln w="25400" cap="flat" cmpd="sng" algn="ctr">
              <a:solidFill>
                <a:schemeClr val="accent1"/>
              </a:solidFill>
              <a:miter lim="800000"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8</c:v>
              </c:pt>
            </c:numLit>
          </c:val>
          <c:extLst>
            <c:ext xmlns:c16="http://schemas.microsoft.com/office/drawing/2014/chart" uri="{C3380CC4-5D6E-409C-BE32-E72D297353CC}">
              <c16:uniqueId val="{00000000-562F-4B61-B407-5B607AC04CAB}"/>
            </c:ext>
          </c:extLst>
        </c:ser>
        <c:ser>
          <c:idx val="1"/>
          <c:order val="1"/>
          <c:tx>
            <c:v>Somme de 40'</c:v>
          </c:tx>
          <c:spPr>
            <a:noFill/>
            <a:ln w="25400" cap="flat" cmpd="sng" algn="ctr">
              <a:solidFill>
                <a:schemeClr val="accent2"/>
              </a:solidFill>
              <a:miter lim="800000"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54</c:v>
              </c:pt>
            </c:numLit>
          </c:val>
          <c:extLst>
            <c:ext xmlns:c16="http://schemas.microsoft.com/office/drawing/2014/chart" uri="{C3380CC4-5D6E-409C-BE32-E72D297353CC}">
              <c16:uniqueId val="{00000001-562F-4B61-B407-5B607AC04CAB}"/>
            </c:ext>
          </c:extLst>
        </c:ser>
        <c:ser>
          <c:idx val="2"/>
          <c:order val="2"/>
          <c:tx>
            <c:v>Somme de Pal</c:v>
          </c:tx>
          <c:spPr>
            <a:noFill/>
            <a:ln w="25400" cap="flat" cmpd="sng" algn="ctr">
              <a:solidFill>
                <a:schemeClr val="accent3"/>
              </a:solidFill>
              <a:miter lim="800000"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81</c:v>
              </c:pt>
            </c:numLit>
          </c:val>
          <c:extLst>
            <c:ext xmlns:c16="http://schemas.microsoft.com/office/drawing/2014/chart" uri="{C3380CC4-5D6E-409C-BE32-E72D297353CC}">
              <c16:uniqueId val="{00000006-562F-4B61-B407-5B607AC04C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16337944"/>
        <c:axId val="616339912"/>
      </c:barChart>
      <c:catAx>
        <c:axId val="6163379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16339912"/>
        <c:crosses val="autoZero"/>
        <c:auto val="1"/>
        <c:lblAlgn val="ctr"/>
        <c:lblOffset val="100"/>
        <c:noMultiLvlLbl val="0"/>
      </c:catAx>
      <c:valAx>
        <c:axId val="61633991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616337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u="sng"/>
              <a:t>Délai d'attente cumulé en jours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noFill/>
          <a:ln w="9525" cap="flat" cmpd="sng" algn="ctr">
            <a:solidFill>
              <a:schemeClr val="accent1"/>
            </a:solidFill>
            <a:miter lim="800000"/>
          </a:ln>
          <a:effectLst>
            <a:glow rad="63500">
              <a:schemeClr val="accent1">
                <a:satMod val="175000"/>
                <a:alpha val="25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5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noFill/>
          <a:ln w="9525" cap="flat" cmpd="sng" algn="ctr">
            <a:solidFill>
              <a:schemeClr val="accent1"/>
            </a:solidFill>
            <a:miter lim="800000"/>
          </a:ln>
          <a:effectLst>
            <a:glow rad="63500">
              <a:schemeClr val="accent1">
                <a:satMod val="175000"/>
                <a:alpha val="25000"/>
              </a:schemeClr>
            </a:glo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</c:pivotFmt>
      <c:pivotFmt>
        <c:idx val="9"/>
        <c:spPr>
          <a:noFill/>
          <a:ln w="9525" cap="flat" cmpd="sng" algn="ctr">
            <a:solidFill>
              <a:schemeClr val="accent1"/>
            </a:solidFill>
            <a:miter lim="800000"/>
          </a:ln>
          <a:effectLst>
            <a:glow rad="63500">
              <a:schemeClr val="accent1">
                <a:satMod val="175000"/>
                <a:alpha val="25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noFill/>
          <a:ln w="9525" cap="flat" cmpd="sng" algn="ctr">
            <a:solidFill>
              <a:schemeClr val="accent1"/>
            </a:solidFill>
            <a:miter lim="800000"/>
          </a:ln>
          <a:effectLst>
            <a:glow rad="63500">
              <a:schemeClr val="accent1">
                <a:satMod val="175000"/>
                <a:alpha val="25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noFill/>
          <a:ln w="9525" cap="flat" cmpd="sng" algn="ctr">
            <a:solidFill>
              <a:schemeClr val="accent1"/>
            </a:solidFill>
            <a:miter lim="800000"/>
          </a:ln>
          <a:effectLst>
            <a:glow rad="63500">
              <a:schemeClr val="accent1">
                <a:satMod val="175000"/>
                <a:alpha val="25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noFill/>
          <a:ln w="9525" cap="flat" cmpd="sng" algn="ctr">
            <a:solidFill>
              <a:schemeClr val="accent1"/>
            </a:solidFill>
            <a:miter lim="800000"/>
          </a:ln>
          <a:effectLst>
            <a:glow rad="63500">
              <a:schemeClr val="accent1">
                <a:satMod val="175000"/>
                <a:alpha val="25000"/>
              </a:schemeClr>
            </a:glow>
          </a:effectLst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v>Somme de DELAI D'ATTENTE</c:v>
          </c:tx>
          <c:spPr>
            <a:noFill/>
            <a:ln w="9525" cap="flat" cmpd="sng" algn="ctr">
              <a:solidFill>
                <a:schemeClr val="accent1"/>
              </a:solidFill>
              <a:miter lim="800000"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AERIEN</c:v>
              </c:pt>
              <c:pt idx="1">
                <c:v>BOLLORE</c:v>
              </c:pt>
              <c:pt idx="2">
                <c:v>CMA</c:v>
              </c:pt>
              <c:pt idx="3">
                <c:v>DANMAR LINES</c:v>
              </c:pt>
              <c:pt idx="4">
                <c:v>EAGLE</c:v>
              </c:pt>
              <c:pt idx="5">
                <c:v>MAERSK LINE</c:v>
              </c:pt>
              <c:pt idx="6">
                <c:v>MARGUISA</c:v>
              </c:pt>
              <c:pt idx="7">
                <c:v>MSC</c:v>
              </c:pt>
              <c:pt idx="8">
                <c:v>NILE DUTCH</c:v>
              </c:pt>
              <c:pt idx="9">
                <c:v>SAFMARINE</c:v>
              </c:pt>
            </c:strLit>
          </c:cat>
          <c:val>
            <c:numLit>
              <c:formatCode>General</c:formatCode>
              <c:ptCount val="10"/>
              <c:pt idx="0">
                <c:v>67</c:v>
              </c:pt>
              <c:pt idx="1">
                <c:v>71</c:v>
              </c:pt>
              <c:pt idx="2">
                <c:v>309</c:v>
              </c:pt>
              <c:pt idx="3">
                <c:v>175</c:v>
              </c:pt>
              <c:pt idx="4">
                <c:v>97</c:v>
              </c:pt>
              <c:pt idx="5">
                <c:v>1248</c:v>
              </c:pt>
              <c:pt idx="6">
                <c:v>226</c:v>
              </c:pt>
              <c:pt idx="7">
                <c:v>145</c:v>
              </c:pt>
              <c:pt idx="8">
                <c:v>502</c:v>
              </c:pt>
              <c:pt idx="9">
                <c:v>1618</c:v>
              </c:pt>
            </c:numLit>
          </c:val>
          <c:extLst>
            <c:ext xmlns:c16="http://schemas.microsoft.com/office/drawing/2014/chart" uri="{C3380CC4-5D6E-409C-BE32-E72D297353CC}">
              <c16:uniqueId val="{00000000-6A89-4A54-B943-9D5B76DEA6E1}"/>
            </c:ext>
          </c:extLst>
        </c:ser>
        <c:ser>
          <c:idx val="1"/>
          <c:order val="1"/>
          <c:tx>
            <c:v>Somme de Pal</c:v>
          </c:tx>
          <c:spPr>
            <a:noFill/>
            <a:ln w="9525" cap="flat" cmpd="sng" algn="ctr">
              <a:solidFill>
                <a:schemeClr val="accent2"/>
              </a:solidFill>
              <a:miter lim="800000"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  <c:invertIfNegative val="0"/>
          <c:dLbls>
            <c:delete val="1"/>
          </c:dLbls>
          <c:cat>
            <c:strLit>
              <c:ptCount val="10"/>
              <c:pt idx="0">
                <c:v>AERIEN</c:v>
              </c:pt>
              <c:pt idx="1">
                <c:v>BOLLORE</c:v>
              </c:pt>
              <c:pt idx="2">
                <c:v>CMA</c:v>
              </c:pt>
              <c:pt idx="3">
                <c:v>DANMAR LINES</c:v>
              </c:pt>
              <c:pt idx="4">
                <c:v>EAGLE</c:v>
              </c:pt>
              <c:pt idx="5">
                <c:v>MAERSK LINE</c:v>
              </c:pt>
              <c:pt idx="6">
                <c:v>MARGUISA</c:v>
              </c:pt>
              <c:pt idx="7">
                <c:v>MSC</c:v>
              </c:pt>
              <c:pt idx="8">
                <c:v>NILE DUTCH</c:v>
              </c:pt>
              <c:pt idx="9">
                <c:v>SAFMARINE</c:v>
              </c:pt>
            </c:strLit>
          </c:cat>
          <c:val>
            <c:numLit>
              <c:formatCode>General</c:formatCode>
              <c:ptCount val="10"/>
              <c:pt idx="0">
                <c:v>69</c:v>
              </c:pt>
              <c:pt idx="1">
                <c:v>10</c:v>
              </c:pt>
              <c:pt idx="2">
                <c:v>0</c:v>
              </c:pt>
              <c:pt idx="3">
                <c:v>0</c:v>
              </c:pt>
              <c:pt idx="4">
                <c:v>2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0-C55E-4F93-B0E7-FC8BC3B99B85}"/>
            </c:ext>
          </c:extLst>
        </c:ser>
        <c:ser>
          <c:idx val="2"/>
          <c:order val="2"/>
          <c:tx>
            <c:v>Somme de 40'</c:v>
          </c:tx>
          <c:spPr>
            <a:noFill/>
            <a:ln w="9525" cap="flat" cmpd="sng" algn="ctr">
              <a:solidFill>
                <a:schemeClr val="accent3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AERIEN</c:v>
              </c:pt>
              <c:pt idx="1">
                <c:v>BOLLORE</c:v>
              </c:pt>
              <c:pt idx="2">
                <c:v>CMA</c:v>
              </c:pt>
              <c:pt idx="3">
                <c:v>DANMAR LINES</c:v>
              </c:pt>
              <c:pt idx="4">
                <c:v>EAGLE</c:v>
              </c:pt>
              <c:pt idx="5">
                <c:v>MAERSK LINE</c:v>
              </c:pt>
              <c:pt idx="6">
                <c:v>MARGUISA</c:v>
              </c:pt>
              <c:pt idx="7">
                <c:v>MSC</c:v>
              </c:pt>
              <c:pt idx="8">
                <c:v>NILE DUTCH</c:v>
              </c:pt>
              <c:pt idx="9">
                <c:v>SAFMARINE</c:v>
              </c:pt>
            </c:strLit>
          </c:cat>
          <c:val>
            <c:numLit>
              <c:formatCode>General</c:formatCode>
              <c:ptCount val="10"/>
              <c:pt idx="0">
                <c:v>0</c:v>
              </c:pt>
              <c:pt idx="1">
                <c:v>0</c:v>
              </c:pt>
              <c:pt idx="2">
                <c:v>5</c:v>
              </c:pt>
              <c:pt idx="3">
                <c:v>1</c:v>
              </c:pt>
              <c:pt idx="4">
                <c:v>0</c:v>
              </c:pt>
              <c:pt idx="5">
                <c:v>11</c:v>
              </c:pt>
              <c:pt idx="6">
                <c:v>7</c:v>
              </c:pt>
              <c:pt idx="7">
                <c:v>8</c:v>
              </c:pt>
              <c:pt idx="8">
                <c:v>6</c:v>
              </c:pt>
              <c:pt idx="9">
                <c:v>16</c:v>
              </c:pt>
            </c:numLit>
          </c:val>
          <c:extLst>
            <c:ext xmlns:c16="http://schemas.microsoft.com/office/drawing/2014/chart" uri="{C3380CC4-5D6E-409C-BE32-E72D297353CC}">
              <c16:uniqueId val="{00000001-C55E-4F93-B0E7-FC8BC3B99B8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394767984"/>
        <c:axId val="394768312"/>
      </c:barChart>
      <c:catAx>
        <c:axId val="3947679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68312"/>
        <c:crosses val="autoZero"/>
        <c:auto val="1"/>
        <c:lblAlgn val="ctr"/>
        <c:lblOffset val="100"/>
        <c:noMultiLvlLbl val="0"/>
      </c:catAx>
      <c:valAx>
        <c:axId val="3947683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94767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>
      <a:outerShdw blurRad="50800" dist="25400" dir="5400000" algn="ctr" rotWithShape="0">
        <a:srgbClr val="000000">
          <a:alpha val="43137"/>
        </a:srgb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1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35000"/>
          <a:lumOff val="6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/>
    <cs:fontRef idx="minor">
      <a:schemeClr val="dk1"/>
    </cs:fontRef>
    <cs:spPr>
      <a:noFill/>
      <a:ln w="25400" cap="flat" cmpd="sng" algn="ctr">
        <a:solidFill>
          <a:schemeClr val="phClr"/>
        </a:solidFill>
        <a:miter lim="800000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flat" cmpd="sng" algn="ctr">
        <a:solidFill>
          <a:schemeClr val="phClr"/>
        </a:solidFill>
        <a:miter lim="800000"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1"/>
    <cs:effectRef idx="0"/>
    <cs:fontRef idx="minor">
      <a:schemeClr val="tx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1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35000"/>
          <a:lumOff val="6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/>
    <cs:fontRef idx="minor">
      <a:schemeClr val="dk1"/>
    </cs:fontRef>
    <cs:spPr>
      <a:noFill/>
      <a:ln w="25400" cap="flat" cmpd="sng" algn="ctr">
        <a:solidFill>
          <a:schemeClr val="phClr"/>
        </a:solidFill>
        <a:miter lim="800000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flat" cmpd="sng" algn="ctr">
        <a:solidFill>
          <a:schemeClr val="phClr"/>
        </a:solidFill>
        <a:miter lim="800000"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1"/>
    <cs:effectRef idx="0"/>
    <cs:fontRef idx="minor">
      <a:schemeClr val="tx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39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dk1">
                <a:lumMod val="65000"/>
                <a:lumOff val="35000"/>
              </a:schemeClr>
            </a:gs>
            <a:gs pos="100000">
              <a:schemeClr val="dk1">
                <a:lumMod val="75000"/>
                <a:lumOff val="25000"/>
              </a:schemeClr>
            </a:gs>
          </a:gsLst>
          <a:lin ang="10800000" scaled="0"/>
        </a:gradFill>
        <a:round/>
      </a:ln>
      <a:effectLst/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1054100</xdr:colOff>
      <xdr:row>43</xdr:row>
      <xdr:rowOff>25400</xdr:rowOff>
    </xdr:from>
    <xdr:to>
      <xdr:col>20</xdr:col>
      <xdr:colOff>698500</xdr:colOff>
      <xdr:row>71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9</xdr:col>
      <xdr:colOff>0</xdr:colOff>
      <xdr:row>3</xdr:row>
      <xdr:rowOff>0</xdr:rowOff>
    </xdr:to>
    <xdr:sp macro="" textlink="">
      <xdr:nvSpPr>
        <xdr:cNvPr id="2" name="Rectangle avec coins rognés en diagonale 1"/>
        <xdr:cNvSpPr/>
      </xdr:nvSpPr>
      <xdr:spPr>
        <a:xfrm>
          <a:off x="792480" y="182880"/>
          <a:ext cx="6339840" cy="365760"/>
        </a:xfrm>
        <a:prstGeom prst="snip2Diag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Tableau de suivi des cargaisons en attente au port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10</xdr:col>
      <xdr:colOff>0</xdr:colOff>
      <xdr:row>22</xdr:row>
      <xdr:rowOff>0</xdr:rowOff>
    </xdr:to>
    <xdr:grpSp>
      <xdr:nvGrpSpPr>
        <xdr:cNvPr id="5" name="Groupe 4"/>
        <xdr:cNvGrpSpPr/>
      </xdr:nvGrpSpPr>
      <xdr:grpSpPr>
        <a:xfrm>
          <a:off x="0" y="731520"/>
          <a:ext cx="7924800" cy="3291840"/>
          <a:chOff x="0" y="731520"/>
          <a:chExt cx="7924800" cy="3291840"/>
        </a:xfrm>
      </xdr:grpSpPr>
      <xdr:graphicFrame macro="">
        <xdr:nvGraphicFramePr>
          <xdr:cNvPr id="4" name="Graphique 3"/>
          <xdr:cNvGraphicFramePr>
            <a:graphicFrameLocks/>
          </xdr:cNvGraphicFramePr>
        </xdr:nvGraphicFramePr>
        <xdr:xfrm>
          <a:off x="0" y="731520"/>
          <a:ext cx="4069080" cy="329184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6" name="Graphique 5"/>
          <xdr:cNvGraphicFramePr>
            <a:graphicFrameLocks/>
          </xdr:cNvGraphicFramePr>
        </xdr:nvGraphicFramePr>
        <xdr:xfrm>
          <a:off x="4145281" y="731520"/>
          <a:ext cx="3779519" cy="329184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0.19478</cdr:x>
      <cdr:y>0.05556</cdr:y>
    </cdr:from>
    <cdr:to>
      <cdr:x>0.43574</cdr:x>
      <cdr:y>0.11343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739140" y="182880"/>
          <a:ext cx="914400" cy="1905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0.12651</cdr:x>
      <cdr:y>0</cdr:y>
    </cdr:from>
    <cdr:to>
      <cdr:x>0.67671</cdr:x>
      <cdr:y>0.08796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480060" y="0"/>
          <a:ext cx="2087880" cy="28956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400" b="1" u="sng"/>
            <a:t>Répartition par type de conteneur</a:t>
          </a:r>
        </a:p>
      </cdr:txBody>
    </cdr:sp>
  </cdr:relSizeAnchor>
</c:userShapes>
</file>

<file path=xl/tables/table1.xml><?xml version="1.0" encoding="utf-8"?>
<table xmlns="http://schemas.openxmlformats.org/spreadsheetml/2006/main" id="1" name="Tableau1" displayName="Tableau1" ref="A4:X38" totalsRowShown="0" headerRowDxfId="28" dataDxfId="26" headerRowBorderDxfId="27" tableBorderDxfId="25" totalsRowBorderDxfId="24">
  <autoFilter ref="A4:X38"/>
  <tableColumns count="24">
    <tableColumn id="1" name="N° OT" dataDxfId="23"/>
    <tableColumn id="2" name="DATE  OT" dataDxfId="22"/>
    <tableColumn id="3" name="CAD" dataDxfId="21"/>
    <tableColumn id="4" name="N° CDE" dataDxfId="20"/>
    <tableColumn id="5" name="N° DI" dataDxfId="19"/>
    <tableColumn id="6" name="FOURNISSEUR" dataDxfId="18"/>
    <tableColumn id="7" name="DESIGNATION" dataDxfId="17"/>
    <tableColumn id="23" name="Priorité" dataDxfId="16"/>
    <tableColumn id="8" name="COLISAGE" dataDxfId="15"/>
    <tableColumn id="9" name="20'" dataDxfId="14"/>
    <tableColumn id="10" name="Ctx" dataDxfId="13"/>
    <tableColumn id="11" name="Pal" dataDxfId="12"/>
    <tableColumn id="12" name="LIGNE MARITIME" dataDxfId="11"/>
    <tableColumn id="13" name="DATE DOCUMENTS ORIGINAUX" dataDxfId="10"/>
    <tableColumn id="14" name="DATE ARRIVEE NAVIRE/VOL" dataDxfId="9"/>
    <tableColumn id="15" name="DELAI D'ATTENTE" dataDxfId="8">
      <calculatedColumnFormula>TODAY()-O5</calculatedColumnFormula>
    </tableColumn>
    <tableColumn id="16" name="LIEU DE LIVRAISON" dataDxfId="7"/>
    <tableColumn id="17" name="STATUTS" dataDxfId="6"/>
    <tableColumn id="18" name="N° BL" dataDxfId="5"/>
    <tableColumn id="19" name="MONTANT PO" dataDxfId="4"/>
    <tableColumn id="24" name="MONTANT PO2" dataDxfId="3">
      <calculatedColumnFormula>T5*655.957</calculatedColumnFormula>
    </tableColumn>
    <tableColumn id="20" name="STAT. " dataDxfId="1"/>
    <tableColumn id="21" name="SUREST. " dataDxfId="0"/>
    <tableColumn id="22" name="Droits de Douan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183"/>
  <sheetViews>
    <sheetView showGridLines="0" tabSelected="1" zoomScale="50" zoomScaleNormal="50" workbookViewId="0">
      <pane ySplit="4" topLeftCell="A21" activePane="bottomLeft" state="frozen"/>
      <selection pane="bottomLeft" activeCell="V25" sqref="V25"/>
    </sheetView>
  </sheetViews>
  <sheetFormatPr baseColWidth="10" defaultColWidth="11.44140625" defaultRowHeight="12" x14ac:dyDescent="0.25"/>
  <cols>
    <col min="1" max="1" width="8.5546875" style="4" customWidth="1"/>
    <col min="2" max="2" width="14" style="4" bestFit="1" customWidth="1"/>
    <col min="3" max="3" width="11.44140625" style="8"/>
    <col min="4" max="4" width="14.6640625" style="4" customWidth="1"/>
    <col min="5" max="5" width="16.44140625" style="4" bestFit="1" customWidth="1"/>
    <col min="6" max="6" width="19.33203125" style="5" customWidth="1"/>
    <col min="7" max="7" width="38" style="5" customWidth="1"/>
    <col min="8" max="8" width="14.109375" style="5" customWidth="1"/>
    <col min="9" max="9" width="16.77734375" style="5" customWidth="1"/>
    <col min="10" max="11" width="5.88671875" style="5" customWidth="1"/>
    <col min="12" max="12" width="6.33203125" style="5" customWidth="1"/>
    <col min="13" max="13" width="17.5546875" style="4" customWidth="1"/>
    <col min="14" max="14" width="19.44140625" style="4" customWidth="1"/>
    <col min="15" max="15" width="18.33203125" style="4" customWidth="1"/>
    <col min="16" max="16" width="15.88671875" style="4" customWidth="1"/>
    <col min="17" max="17" width="16.44140625" style="4" customWidth="1"/>
    <col min="18" max="18" width="27" style="5" customWidth="1"/>
    <col min="19" max="19" width="17.44140625" style="4" customWidth="1"/>
    <col min="20" max="21" width="17" style="6" customWidth="1"/>
    <col min="22" max="22" width="13.33203125" style="6" customWidth="1"/>
    <col min="23" max="23" width="13.33203125" style="6" bestFit="1" customWidth="1"/>
    <col min="24" max="24" width="20.77734375" style="6" customWidth="1"/>
    <col min="25" max="25" width="12.6640625" style="4" customWidth="1"/>
    <col min="26" max="16384" width="11.44140625" style="4"/>
  </cols>
  <sheetData>
    <row r="1" spans="1:24" s="12" customFormat="1" ht="48.6" customHeight="1" thickBot="1" x14ac:dyDescent="0.35">
      <c r="A1" s="9"/>
      <c r="B1" s="10"/>
      <c r="C1" s="41" t="s">
        <v>160</v>
      </c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3"/>
      <c r="Q1" s="11"/>
      <c r="R1" s="14"/>
      <c r="S1" s="13"/>
      <c r="T1" s="16"/>
      <c r="U1" s="16"/>
      <c r="V1" s="16"/>
      <c r="W1" s="16"/>
      <c r="X1" s="16"/>
    </row>
    <row r="3" spans="1:24" ht="11.4" x14ac:dyDescent="0.3">
      <c r="C3" s="4"/>
      <c r="I3" s="4"/>
      <c r="J3" s="4"/>
      <c r="K3" s="4"/>
      <c r="L3" s="4"/>
    </row>
    <row r="4" spans="1:24" ht="20.399999999999999" customHeight="1" x14ac:dyDescent="0.3">
      <c r="A4" s="20" t="s">
        <v>1</v>
      </c>
      <c r="B4" s="21" t="s">
        <v>0</v>
      </c>
      <c r="C4" s="21" t="s">
        <v>159</v>
      </c>
      <c r="D4" s="21" t="s">
        <v>2</v>
      </c>
      <c r="E4" s="21" t="s">
        <v>3</v>
      </c>
      <c r="F4" s="22" t="s">
        <v>14</v>
      </c>
      <c r="G4" s="21" t="s">
        <v>4</v>
      </c>
      <c r="H4" s="21" t="s">
        <v>170</v>
      </c>
      <c r="I4" s="21" t="s">
        <v>5</v>
      </c>
      <c r="J4" s="21" t="s">
        <v>156</v>
      </c>
      <c r="K4" s="21" t="s">
        <v>177</v>
      </c>
      <c r="L4" s="21" t="s">
        <v>157</v>
      </c>
      <c r="M4" s="21" t="s">
        <v>15</v>
      </c>
      <c r="N4" s="21" t="s">
        <v>6</v>
      </c>
      <c r="O4" s="21" t="s">
        <v>7</v>
      </c>
      <c r="P4" s="21" t="s">
        <v>161</v>
      </c>
      <c r="Q4" s="21" t="s">
        <v>8</v>
      </c>
      <c r="R4" s="21" t="s">
        <v>9</v>
      </c>
      <c r="S4" s="21" t="s">
        <v>87</v>
      </c>
      <c r="T4" s="23" t="s">
        <v>155</v>
      </c>
      <c r="U4" s="23" t="s">
        <v>176</v>
      </c>
      <c r="V4" s="23" t="s">
        <v>154</v>
      </c>
      <c r="W4" s="23" t="s">
        <v>153</v>
      </c>
      <c r="X4" s="24" t="s">
        <v>10</v>
      </c>
    </row>
    <row r="5" spans="1:24" ht="57" x14ac:dyDescent="0.3">
      <c r="A5" s="18">
        <v>2429</v>
      </c>
      <c r="B5" s="3">
        <v>43529</v>
      </c>
      <c r="C5" s="2" t="s">
        <v>23</v>
      </c>
      <c r="D5" s="2" t="s">
        <v>24</v>
      </c>
      <c r="E5" s="2" t="s">
        <v>19</v>
      </c>
      <c r="F5" s="1" t="s">
        <v>17</v>
      </c>
      <c r="G5" s="1" t="s">
        <v>25</v>
      </c>
      <c r="H5" s="1" t="s">
        <v>173</v>
      </c>
      <c r="I5" s="2" t="s">
        <v>26</v>
      </c>
      <c r="J5" s="2"/>
      <c r="K5" s="2">
        <v>1</v>
      </c>
      <c r="L5" s="2"/>
      <c r="M5" s="2" t="s">
        <v>18</v>
      </c>
      <c r="N5" s="3">
        <v>43301</v>
      </c>
      <c r="O5" s="3">
        <v>43252</v>
      </c>
      <c r="P5" s="7">
        <f t="shared" ref="P5:P38" ca="1" si="0">TODAY()-O5</f>
        <v>436</v>
      </c>
      <c r="Q5" s="2" t="s">
        <v>13</v>
      </c>
      <c r="R5" s="1" t="s">
        <v>183</v>
      </c>
      <c r="S5" s="2">
        <v>710914047</v>
      </c>
      <c r="T5" s="7">
        <v>89497</v>
      </c>
      <c r="U5" s="7">
        <f t="shared" ref="U5:U38" si="1">T5*655.957</f>
        <v>58706183.629000001</v>
      </c>
      <c r="V5" s="17">
        <f ca="1">+(((Tableau1[[#This Row],[DELAI D''ATTENTE]]-60)*21200)+127600)*1.1925</f>
        <v>9657819</v>
      </c>
      <c r="W5" s="17">
        <f ca="1">+(((Tableau1[[#This Row],[DELAI D''ATTENTE]]-30)*21200)+127600)*1.1925</f>
        <v>10416249</v>
      </c>
      <c r="X5" s="19">
        <v>18419981</v>
      </c>
    </row>
    <row r="6" spans="1:24" ht="45.6" x14ac:dyDescent="0.3">
      <c r="A6" s="18">
        <v>2446</v>
      </c>
      <c r="B6" s="3" t="s">
        <v>20</v>
      </c>
      <c r="C6" s="2" t="s">
        <v>16</v>
      </c>
      <c r="D6" s="2" t="s">
        <v>24</v>
      </c>
      <c r="E6" s="2" t="s">
        <v>19</v>
      </c>
      <c r="F6" s="1" t="s">
        <v>17</v>
      </c>
      <c r="G6" s="1" t="s">
        <v>21</v>
      </c>
      <c r="H6" s="1" t="s">
        <v>171</v>
      </c>
      <c r="I6" s="2" t="s">
        <v>22</v>
      </c>
      <c r="J6" s="2">
        <v>1</v>
      </c>
      <c r="K6" s="37">
        <v>2</v>
      </c>
      <c r="L6" s="2"/>
      <c r="M6" s="2" t="s">
        <v>18</v>
      </c>
      <c r="N6" s="3">
        <v>43301</v>
      </c>
      <c r="O6" s="3">
        <v>43252</v>
      </c>
      <c r="P6" s="7">
        <f t="shared" ca="1" si="0"/>
        <v>436</v>
      </c>
      <c r="Q6" s="2" t="s">
        <v>13</v>
      </c>
      <c r="R6" s="1" t="s">
        <v>183</v>
      </c>
      <c r="S6" s="2">
        <v>576234930</v>
      </c>
      <c r="T6" s="7">
        <v>188609</v>
      </c>
      <c r="U6" s="7">
        <f t="shared" si="1"/>
        <v>123719393.81299999</v>
      </c>
      <c r="V6" s="17">
        <f ca="1">+(((Tableau1[[#This Row],[DELAI D''ATTENTE]]-60)*21200)+127600)*1.1925*2</f>
        <v>19315638</v>
      </c>
      <c r="W6" s="17">
        <f ca="1">+(((Tableau1[[#This Row],[DELAI D''ATTENTE]]-30)*21200)+127600)*1.1925*2</f>
        <v>20832498</v>
      </c>
      <c r="X6" s="19">
        <v>0</v>
      </c>
    </row>
    <row r="7" spans="1:24" ht="11.4" x14ac:dyDescent="0.3">
      <c r="A7" s="18">
        <v>2550</v>
      </c>
      <c r="B7" s="3">
        <v>43368</v>
      </c>
      <c r="C7" s="2" t="s">
        <v>11</v>
      </c>
      <c r="D7" s="2">
        <v>1710213576</v>
      </c>
      <c r="E7" s="2" t="s">
        <v>28</v>
      </c>
      <c r="F7" s="1" t="s">
        <v>29</v>
      </c>
      <c r="G7" s="1" t="s">
        <v>30</v>
      </c>
      <c r="H7" s="1" t="s">
        <v>173</v>
      </c>
      <c r="I7" s="2" t="s">
        <v>31</v>
      </c>
      <c r="J7" s="2"/>
      <c r="K7" s="2">
        <v>1</v>
      </c>
      <c r="L7" s="2"/>
      <c r="M7" s="2" t="s">
        <v>32</v>
      </c>
      <c r="N7" s="3">
        <v>43357</v>
      </c>
      <c r="O7" s="3">
        <v>43348</v>
      </c>
      <c r="P7" s="7">
        <f t="shared" ca="1" si="0"/>
        <v>340</v>
      </c>
      <c r="Q7" s="2" t="s">
        <v>13</v>
      </c>
      <c r="R7" s="1" t="s">
        <v>183</v>
      </c>
      <c r="S7" s="2">
        <v>965749701</v>
      </c>
      <c r="T7" s="7">
        <v>101740</v>
      </c>
      <c r="U7" s="7">
        <f t="shared" si="1"/>
        <v>66737065.18</v>
      </c>
      <c r="V7" s="17">
        <f ca="1">+(((Tableau1[[#This Row],[DELAI D''ATTENTE]]-30)*24000)+1236384)*1.1925</f>
        <v>10346587.92</v>
      </c>
      <c r="W7" s="17">
        <f ca="1">+(((Tableau1[[#This Row],[DELAI D''ATTENTE]]-30)*21200)+127600)*1.1925*2</f>
        <v>15978545.999999998</v>
      </c>
      <c r="X7" s="19" t="s">
        <v>151</v>
      </c>
    </row>
    <row r="8" spans="1:24" ht="22.8" x14ac:dyDescent="0.3">
      <c r="A8" s="18">
        <v>2581</v>
      </c>
      <c r="B8" s="3">
        <v>43391</v>
      </c>
      <c r="C8" s="2" t="s">
        <v>118</v>
      </c>
      <c r="D8" s="2" t="s">
        <v>137</v>
      </c>
      <c r="E8" s="2" t="s">
        <v>138</v>
      </c>
      <c r="F8" s="1" t="s">
        <v>66</v>
      </c>
      <c r="G8" s="1" t="s">
        <v>139</v>
      </c>
      <c r="H8" s="1" t="s">
        <v>173</v>
      </c>
      <c r="I8" s="2" t="s">
        <v>140</v>
      </c>
      <c r="J8" s="2"/>
      <c r="K8" s="2">
        <v>1</v>
      </c>
      <c r="L8" s="2"/>
      <c r="M8" s="2" t="s">
        <v>18</v>
      </c>
      <c r="N8" s="2"/>
      <c r="O8" s="3">
        <v>43402</v>
      </c>
      <c r="P8" s="7">
        <f t="shared" ca="1" si="0"/>
        <v>286</v>
      </c>
      <c r="Q8" s="2" t="s">
        <v>13</v>
      </c>
      <c r="R8" s="1" t="s">
        <v>183</v>
      </c>
      <c r="S8" s="2">
        <v>710937312</v>
      </c>
      <c r="T8" s="7">
        <v>153212.35999999999</v>
      </c>
      <c r="U8" s="7">
        <f t="shared" si="1"/>
        <v>100500720.02851999</v>
      </c>
      <c r="V8" s="17">
        <f ca="1">+(((Tableau1[[#This Row],[DELAI D''ATTENTE]]-60)*21200)+127600)*1.1925</f>
        <v>5865668.9999999991</v>
      </c>
      <c r="W8" s="17">
        <f ca="1">+(((Tableau1[[#This Row],[DELAI D''ATTENTE]]-30)*21200)+127600)*1.1925</f>
        <v>6624098.9999999991</v>
      </c>
      <c r="X8" s="19">
        <v>46684149</v>
      </c>
    </row>
    <row r="9" spans="1:24" ht="34.200000000000003" x14ac:dyDescent="0.3">
      <c r="A9" s="18">
        <v>2582</v>
      </c>
      <c r="B9" s="3">
        <v>43391</v>
      </c>
      <c r="C9" s="2" t="s">
        <v>47</v>
      </c>
      <c r="D9" s="2" t="s">
        <v>141</v>
      </c>
      <c r="E9" s="2" t="s">
        <v>142</v>
      </c>
      <c r="F9" s="1" t="s">
        <v>66</v>
      </c>
      <c r="G9" s="1" t="s">
        <v>143</v>
      </c>
      <c r="H9" s="1" t="s">
        <v>173</v>
      </c>
      <c r="I9" s="2" t="s">
        <v>75</v>
      </c>
      <c r="J9" s="2"/>
      <c r="K9" s="2">
        <v>7</v>
      </c>
      <c r="L9" s="2"/>
      <c r="M9" s="2" t="s">
        <v>144</v>
      </c>
      <c r="N9" s="2"/>
      <c r="O9" s="3">
        <v>43384</v>
      </c>
      <c r="P9" s="7">
        <f t="shared" ca="1" si="0"/>
        <v>304</v>
      </c>
      <c r="Q9" s="2" t="s">
        <v>13</v>
      </c>
      <c r="R9" s="1" t="s">
        <v>183</v>
      </c>
      <c r="S9" s="2" t="s">
        <v>145</v>
      </c>
      <c r="T9" s="7">
        <v>376447.3</v>
      </c>
      <c r="U9" s="7">
        <f t="shared" si="1"/>
        <v>246933241.5661</v>
      </c>
      <c r="V9" s="17">
        <v>28763100</v>
      </c>
      <c r="W9" s="17">
        <v>28386024</v>
      </c>
      <c r="X9" s="19">
        <v>80518986</v>
      </c>
    </row>
    <row r="10" spans="1:24" ht="34.200000000000003" x14ac:dyDescent="0.3">
      <c r="A10" s="18">
        <v>2583</v>
      </c>
      <c r="B10" s="3">
        <v>43391</v>
      </c>
      <c r="C10" s="2" t="s">
        <v>47</v>
      </c>
      <c r="D10" s="2" t="s">
        <v>134</v>
      </c>
      <c r="E10" s="2" t="s">
        <v>135</v>
      </c>
      <c r="F10" s="1" t="s">
        <v>66</v>
      </c>
      <c r="G10" s="1" t="s">
        <v>136</v>
      </c>
      <c r="H10" s="1" t="s">
        <v>173</v>
      </c>
      <c r="I10" s="2" t="s">
        <v>46</v>
      </c>
      <c r="J10" s="2"/>
      <c r="K10" s="2">
        <v>2</v>
      </c>
      <c r="L10" s="2"/>
      <c r="M10" s="2" t="s">
        <v>18</v>
      </c>
      <c r="N10" s="2"/>
      <c r="O10" s="3">
        <v>43402</v>
      </c>
      <c r="P10" s="7">
        <f t="shared" ca="1" si="0"/>
        <v>286</v>
      </c>
      <c r="Q10" s="2" t="s">
        <v>13</v>
      </c>
      <c r="R10" s="1" t="s">
        <v>183</v>
      </c>
      <c r="S10" s="2">
        <v>710947058</v>
      </c>
      <c r="T10" s="7">
        <v>209269.88</v>
      </c>
      <c r="U10" s="7">
        <f t="shared" si="1"/>
        <v>137272042.67515999</v>
      </c>
      <c r="V10" s="17">
        <f>+Q50+P56*1.1925*2</f>
        <v>4978387.92</v>
      </c>
      <c r="W10" s="17">
        <v>9540800</v>
      </c>
      <c r="X10" s="19">
        <v>55968034</v>
      </c>
    </row>
    <row r="11" spans="1:24" ht="11.4" x14ac:dyDescent="0.3">
      <c r="A11" s="18">
        <v>2614</v>
      </c>
      <c r="B11" s="3">
        <v>43420</v>
      </c>
      <c r="C11" s="2" t="s">
        <v>11</v>
      </c>
      <c r="D11" s="2">
        <v>1801220568</v>
      </c>
      <c r="E11" s="2" t="s">
        <v>42</v>
      </c>
      <c r="F11" s="1" t="s">
        <v>34</v>
      </c>
      <c r="G11" s="1" t="s">
        <v>43</v>
      </c>
      <c r="H11" s="1" t="s">
        <v>171</v>
      </c>
      <c r="I11" s="2" t="s">
        <v>31</v>
      </c>
      <c r="J11" s="2"/>
      <c r="K11" s="2">
        <v>1</v>
      </c>
      <c r="L11" s="2"/>
      <c r="M11" s="2" t="s">
        <v>32</v>
      </c>
      <c r="N11" s="3">
        <v>43419</v>
      </c>
      <c r="O11" s="3">
        <v>43372</v>
      </c>
      <c r="P11" s="7">
        <f t="shared" ca="1" si="0"/>
        <v>316</v>
      </c>
      <c r="Q11" s="2" t="s">
        <v>13</v>
      </c>
      <c r="R11" s="1" t="s">
        <v>183</v>
      </c>
      <c r="S11" s="2">
        <v>966400979</v>
      </c>
      <c r="T11" s="7">
        <v>89232</v>
      </c>
      <c r="U11" s="7">
        <f t="shared" si="1"/>
        <v>58532355.023999996</v>
      </c>
      <c r="V11" s="17">
        <f ca="1">+(((Tableau1[[#This Row],[DELAI D''ATTENTE]]-60)*24000)+1236384)*1.1925</f>
        <v>8801107.9199999999</v>
      </c>
      <c r="W11" s="17">
        <f ca="1">+(((Tableau1[[#This Row],[DELAI D''ATTENTE]]-30)*21200)+127600)*1.1925</f>
        <v>7382528.9999999991</v>
      </c>
      <c r="X11" s="19">
        <v>25259819</v>
      </c>
    </row>
    <row r="12" spans="1:24" ht="22.8" x14ac:dyDescent="0.3">
      <c r="A12" s="18">
        <v>2626</v>
      </c>
      <c r="B12" s="3">
        <v>43430</v>
      </c>
      <c r="C12" s="2" t="s">
        <v>67</v>
      </c>
      <c r="D12" s="2" t="s">
        <v>101</v>
      </c>
      <c r="E12" s="2" t="s">
        <v>102</v>
      </c>
      <c r="F12" s="1" t="s">
        <v>66</v>
      </c>
      <c r="G12" s="1" t="s">
        <v>103</v>
      </c>
      <c r="H12" s="1" t="s">
        <v>173</v>
      </c>
      <c r="I12" s="2" t="s">
        <v>104</v>
      </c>
      <c r="J12" s="2"/>
      <c r="K12" s="2">
        <v>5</v>
      </c>
      <c r="L12" s="2"/>
      <c r="M12" s="2" t="s">
        <v>18</v>
      </c>
      <c r="N12" s="3"/>
      <c r="O12" s="3">
        <v>43451</v>
      </c>
      <c r="P12" s="7">
        <f t="shared" ca="1" si="0"/>
        <v>237</v>
      </c>
      <c r="Q12" s="2" t="s">
        <v>13</v>
      </c>
      <c r="R12" s="1" t="s">
        <v>183</v>
      </c>
      <c r="S12" s="2">
        <v>710959399</v>
      </c>
      <c r="T12" s="7">
        <v>507947</v>
      </c>
      <c r="U12" s="7">
        <f t="shared" si="1"/>
        <v>333191390.27899998</v>
      </c>
      <c r="V12" s="17">
        <v>14195520</v>
      </c>
      <c r="W12" s="17">
        <f ca="1">+(((Tableau1[[#This Row],[DELAI D''ATTENTE]]-30)*21200)+127600)*1.1925*2</f>
        <v>10770659.999999998</v>
      </c>
      <c r="X12" s="19">
        <v>111636315</v>
      </c>
    </row>
    <row r="13" spans="1:24" ht="22.8" x14ac:dyDescent="0.3">
      <c r="A13" s="18">
        <v>2627</v>
      </c>
      <c r="B13" s="3">
        <v>43430</v>
      </c>
      <c r="C13" s="2" t="s">
        <v>11</v>
      </c>
      <c r="D13" s="2" t="s">
        <v>131</v>
      </c>
      <c r="E13" s="2" t="s">
        <v>132</v>
      </c>
      <c r="F13" s="1" t="s">
        <v>66</v>
      </c>
      <c r="G13" s="1" t="s">
        <v>133</v>
      </c>
      <c r="H13" s="1" t="s">
        <v>173</v>
      </c>
      <c r="I13" s="2" t="s">
        <v>53</v>
      </c>
      <c r="J13" s="2">
        <v>1</v>
      </c>
      <c r="K13" s="37">
        <v>1</v>
      </c>
      <c r="L13" s="2"/>
      <c r="M13" s="2" t="s">
        <v>32</v>
      </c>
      <c r="N13" s="2"/>
      <c r="O13" s="3">
        <v>43449</v>
      </c>
      <c r="P13" s="7">
        <f t="shared" ca="1" si="0"/>
        <v>239</v>
      </c>
      <c r="Q13" s="2" t="s">
        <v>13</v>
      </c>
      <c r="R13" s="1" t="s">
        <v>183</v>
      </c>
      <c r="S13" s="2">
        <v>606140280</v>
      </c>
      <c r="T13" s="7">
        <v>29500</v>
      </c>
      <c r="U13" s="7">
        <f t="shared" si="1"/>
        <v>19350731.5</v>
      </c>
      <c r="V13" s="17">
        <f ca="1">+(((Tableau1[[#This Row],[DELAI D''ATTENTE]]-60)*12000)+1236384)*1.1925</f>
        <v>4035877.9199999995</v>
      </c>
      <c r="W13" s="17">
        <f ca="1">+(((Tableau1[[#This Row],[DELAI D''ATTENTE]]-30)*10600)+127600)*1.1925*2</f>
        <v>5588054.9999999991</v>
      </c>
      <c r="X13" s="19" t="s">
        <v>151</v>
      </c>
    </row>
    <row r="14" spans="1:24" ht="11.4" x14ac:dyDescent="0.3">
      <c r="A14" s="18">
        <v>2633</v>
      </c>
      <c r="B14" s="3">
        <v>43439</v>
      </c>
      <c r="C14" s="2" t="s">
        <v>11</v>
      </c>
      <c r="D14" s="2">
        <v>1709210973</v>
      </c>
      <c r="E14" s="2" t="s">
        <v>48</v>
      </c>
      <c r="F14" s="1" t="s">
        <v>29</v>
      </c>
      <c r="G14" s="1" t="s">
        <v>49</v>
      </c>
      <c r="H14" s="1" t="s">
        <v>173</v>
      </c>
      <c r="I14" s="2" t="s">
        <v>31</v>
      </c>
      <c r="J14" s="2"/>
      <c r="K14" s="2">
        <v>1</v>
      </c>
      <c r="L14" s="2"/>
      <c r="M14" s="2" t="s">
        <v>32</v>
      </c>
      <c r="N14" s="3">
        <v>43437</v>
      </c>
      <c r="O14" s="3">
        <v>43402</v>
      </c>
      <c r="P14" s="7">
        <f t="shared" ca="1" si="0"/>
        <v>286</v>
      </c>
      <c r="Q14" s="2" t="s">
        <v>13</v>
      </c>
      <c r="R14" s="1" t="s">
        <v>183</v>
      </c>
      <c r="S14" s="2" t="s">
        <v>130</v>
      </c>
      <c r="T14" s="7">
        <v>23545</v>
      </c>
      <c r="U14" s="7">
        <f t="shared" si="1"/>
        <v>15444507.564999999</v>
      </c>
      <c r="V14" s="17">
        <f ca="1">+(((Tableau1[[#This Row],[DELAI D''ATTENTE]]-60)*24000)+1236384)*1.1925</f>
        <v>7942507.919999999</v>
      </c>
      <c r="W14" s="17">
        <f ca="1">+(((Tableau1[[#This Row],[DELAI D''ATTENTE]]-30)*21200)+127600)*1.1925</f>
        <v>6624098.9999999991</v>
      </c>
      <c r="X14" s="19">
        <v>0</v>
      </c>
    </row>
    <row r="15" spans="1:24" ht="34.200000000000003" x14ac:dyDescent="0.3">
      <c r="A15" s="18">
        <v>2634</v>
      </c>
      <c r="B15" s="3">
        <v>43439</v>
      </c>
      <c r="C15" s="2" t="s">
        <v>11</v>
      </c>
      <c r="D15" s="2" t="s">
        <v>44</v>
      </c>
      <c r="E15" s="2" t="s">
        <v>36</v>
      </c>
      <c r="F15" s="1" t="s">
        <v>34</v>
      </c>
      <c r="G15" s="1" t="s">
        <v>45</v>
      </c>
      <c r="H15" s="1" t="s">
        <v>171</v>
      </c>
      <c r="I15" s="2" t="s">
        <v>46</v>
      </c>
      <c r="J15" s="2"/>
      <c r="K15" s="2">
        <v>2</v>
      </c>
      <c r="L15" s="2"/>
      <c r="M15" s="2" t="s">
        <v>38</v>
      </c>
      <c r="N15" s="3">
        <v>43488</v>
      </c>
      <c r="O15" s="3">
        <v>43444</v>
      </c>
      <c r="P15" s="7">
        <f t="shared" ca="1" si="0"/>
        <v>244</v>
      </c>
      <c r="Q15" s="2" t="s">
        <v>13</v>
      </c>
      <c r="R15" s="1" t="s">
        <v>183</v>
      </c>
      <c r="S15" s="2" t="s">
        <v>128</v>
      </c>
      <c r="T15" s="7">
        <v>217744.2</v>
      </c>
      <c r="U15" s="7">
        <f t="shared" si="1"/>
        <v>142830832.19940001</v>
      </c>
      <c r="V15" s="17">
        <f ca="1">+(((Tableau1[[#This Row],[DELAI D''ATTENTE]]-60)*24000)+1236384)*1.1925</f>
        <v>6740467.919999999</v>
      </c>
      <c r="W15" s="17">
        <f ca="1">+(((Tableau1[[#This Row],[DELAI D''ATTENTE]]-30)*21200)+127600)*1.1925*2</f>
        <v>11124593.999999998</v>
      </c>
      <c r="X15" s="19" t="s">
        <v>152</v>
      </c>
    </row>
    <row r="16" spans="1:24" ht="11.4" x14ac:dyDescent="0.3">
      <c r="A16" s="18">
        <v>2637</v>
      </c>
      <c r="B16" s="3">
        <v>43445</v>
      </c>
      <c r="C16" s="2" t="s">
        <v>11</v>
      </c>
      <c r="D16" s="2">
        <v>1705198667</v>
      </c>
      <c r="E16" s="2" t="s">
        <v>54</v>
      </c>
      <c r="F16" s="1" t="s">
        <v>51</v>
      </c>
      <c r="G16" s="1" t="s">
        <v>55</v>
      </c>
      <c r="H16" s="1" t="s">
        <v>173</v>
      </c>
      <c r="I16" s="2" t="s">
        <v>31</v>
      </c>
      <c r="J16" s="2"/>
      <c r="K16" s="2">
        <v>1</v>
      </c>
      <c r="L16" s="2"/>
      <c r="M16" s="2" t="s">
        <v>56</v>
      </c>
      <c r="N16" s="3">
        <v>43444</v>
      </c>
      <c r="O16" s="3">
        <v>43435</v>
      </c>
      <c r="P16" s="7">
        <f t="shared" ca="1" si="0"/>
        <v>253</v>
      </c>
      <c r="Q16" s="2" t="s">
        <v>13</v>
      </c>
      <c r="R16" s="1" t="s">
        <v>183</v>
      </c>
      <c r="S16" s="2" t="s">
        <v>129</v>
      </c>
      <c r="T16" s="7">
        <v>40701</v>
      </c>
      <c r="U16" s="7">
        <f t="shared" si="1"/>
        <v>26698105.857000001</v>
      </c>
      <c r="V16" s="17">
        <f ca="1">+(((Tableau1[[#This Row],[DELAI D''ATTENTE]]-60)*24000)+1236384)*1.1925</f>
        <v>6998047.919999999</v>
      </c>
      <c r="W16" s="17">
        <f ca="1">+(((Tableau1[[#This Row],[DELAI D''ATTENTE]]-30)*21200)+127600)*1.1925*2</f>
        <v>11579651.999999998</v>
      </c>
      <c r="X16" s="19">
        <v>8377558</v>
      </c>
    </row>
    <row r="17" spans="1:24" ht="11.4" x14ac:dyDescent="0.3">
      <c r="A17" s="18">
        <v>2638</v>
      </c>
      <c r="B17" s="3">
        <v>43445</v>
      </c>
      <c r="C17" s="2" t="s">
        <v>11</v>
      </c>
      <c r="D17" s="2">
        <v>1705198667</v>
      </c>
      <c r="E17" s="2" t="s">
        <v>50</v>
      </c>
      <c r="F17" s="1" t="s">
        <v>51</v>
      </c>
      <c r="G17" s="1" t="s">
        <v>52</v>
      </c>
      <c r="H17" s="1" t="s">
        <v>173</v>
      </c>
      <c r="I17" s="2" t="s">
        <v>53</v>
      </c>
      <c r="J17" s="2">
        <v>1</v>
      </c>
      <c r="K17" s="37">
        <v>1</v>
      </c>
      <c r="L17" s="2"/>
      <c r="M17" s="2" t="s">
        <v>32</v>
      </c>
      <c r="N17" s="3">
        <v>43444</v>
      </c>
      <c r="O17" s="3">
        <v>43423</v>
      </c>
      <c r="P17" s="7">
        <f t="shared" ca="1" si="0"/>
        <v>265</v>
      </c>
      <c r="Q17" s="2" t="s">
        <v>13</v>
      </c>
      <c r="R17" s="1" t="s">
        <v>183</v>
      </c>
      <c r="S17" s="2">
        <v>966612897</v>
      </c>
      <c r="T17" s="7">
        <v>60816</v>
      </c>
      <c r="U17" s="7">
        <f t="shared" si="1"/>
        <v>39892680.912</v>
      </c>
      <c r="V17" s="17">
        <f ca="1">+(((Tableau1[[#This Row],[DELAI D''ATTENTE]]-60)*24000)+1236384)*1.1925</f>
        <v>7341487.919999999</v>
      </c>
      <c r="W17" s="17">
        <f ca="1">+(((Tableau1[[#This Row],[DELAI D''ATTENTE]]-30)*21200)+127600)*1.1925*2</f>
        <v>12186395.999999998</v>
      </c>
      <c r="X17" s="19" t="s">
        <v>152</v>
      </c>
    </row>
    <row r="18" spans="1:24" ht="34.200000000000003" x14ac:dyDescent="0.3">
      <c r="A18" s="18">
        <v>2642</v>
      </c>
      <c r="B18" s="3">
        <v>43446</v>
      </c>
      <c r="C18" s="2" t="s">
        <v>47</v>
      </c>
      <c r="D18" s="2" t="s">
        <v>98</v>
      </c>
      <c r="E18" s="2" t="s">
        <v>99</v>
      </c>
      <c r="F18" s="1" t="s">
        <v>66</v>
      </c>
      <c r="G18" s="1" t="s">
        <v>100</v>
      </c>
      <c r="H18" s="1" t="s">
        <v>173</v>
      </c>
      <c r="I18" s="2" t="s">
        <v>46</v>
      </c>
      <c r="J18" s="2"/>
      <c r="K18" s="2">
        <v>2</v>
      </c>
      <c r="L18" s="2"/>
      <c r="M18" s="2" t="s">
        <v>18</v>
      </c>
      <c r="N18" s="2"/>
      <c r="O18" s="3">
        <v>43467</v>
      </c>
      <c r="P18" s="7">
        <f t="shared" ca="1" si="0"/>
        <v>221</v>
      </c>
      <c r="Q18" s="2" t="s">
        <v>13</v>
      </c>
      <c r="R18" s="1" t="s">
        <v>183</v>
      </c>
      <c r="S18" s="2">
        <v>710962912</v>
      </c>
      <c r="T18" s="7">
        <v>469498.15</v>
      </c>
      <c r="U18" s="7">
        <f t="shared" si="1"/>
        <v>307970597.97955</v>
      </c>
      <c r="V18" s="17">
        <f>+Q52+P56*1.1925*2</f>
        <v>3418387.92</v>
      </c>
      <c r="W18" s="17">
        <v>4110000</v>
      </c>
      <c r="X18" s="19">
        <v>46148476</v>
      </c>
    </row>
    <row r="19" spans="1:24" ht="79.8" x14ac:dyDescent="0.3">
      <c r="A19" s="18">
        <v>2647</v>
      </c>
      <c r="B19" s="3">
        <v>43467</v>
      </c>
      <c r="C19" s="2" t="s">
        <v>68</v>
      </c>
      <c r="D19" s="2" t="s">
        <v>105</v>
      </c>
      <c r="E19" s="2" t="s">
        <v>106</v>
      </c>
      <c r="F19" s="1" t="s">
        <v>66</v>
      </c>
      <c r="G19" s="1" t="s">
        <v>100</v>
      </c>
      <c r="H19" s="1" t="s">
        <v>173</v>
      </c>
      <c r="I19" s="2" t="s">
        <v>107</v>
      </c>
      <c r="J19" s="2"/>
      <c r="K19" s="2">
        <v>3</v>
      </c>
      <c r="L19" s="2"/>
      <c r="M19" s="2" t="s">
        <v>18</v>
      </c>
      <c r="N19" s="2"/>
      <c r="O19" s="3">
        <v>43426</v>
      </c>
      <c r="P19" s="7">
        <f t="shared" ca="1" si="0"/>
        <v>262</v>
      </c>
      <c r="Q19" s="2" t="s">
        <v>108</v>
      </c>
      <c r="R19" s="1" t="s">
        <v>183</v>
      </c>
      <c r="S19" s="2">
        <v>710954603</v>
      </c>
      <c r="T19" s="7">
        <v>372016.37</v>
      </c>
      <c r="U19" s="36">
        <f t="shared" si="1"/>
        <v>244026742.01609001</v>
      </c>
      <c r="V19" s="45">
        <v>13611672</v>
      </c>
      <c r="W19" s="17">
        <v>11000813</v>
      </c>
      <c r="X19" s="19" t="s">
        <v>151</v>
      </c>
    </row>
    <row r="20" spans="1:24" ht="11.4" x14ac:dyDescent="0.3">
      <c r="A20" s="18">
        <v>2653</v>
      </c>
      <c r="B20" s="3">
        <v>43479</v>
      </c>
      <c r="C20" s="2" t="s">
        <v>11</v>
      </c>
      <c r="D20" s="2">
        <v>1802220466</v>
      </c>
      <c r="E20" s="2" t="s">
        <v>36</v>
      </c>
      <c r="F20" s="1" t="s">
        <v>34</v>
      </c>
      <c r="G20" s="1" t="s">
        <v>37</v>
      </c>
      <c r="H20" s="1" t="s">
        <v>171</v>
      </c>
      <c r="I20" s="2" t="s">
        <v>31</v>
      </c>
      <c r="J20" s="2"/>
      <c r="K20" s="2">
        <v>1</v>
      </c>
      <c r="L20" s="2"/>
      <c r="M20" s="2" t="s">
        <v>38</v>
      </c>
      <c r="N20" s="2"/>
      <c r="O20" s="3">
        <v>43490</v>
      </c>
      <c r="P20" s="7">
        <f ca="1">TODAY()-O20</f>
        <v>198</v>
      </c>
      <c r="Q20" s="2" t="s">
        <v>13</v>
      </c>
      <c r="R20" s="1" t="s">
        <v>183</v>
      </c>
      <c r="S20" s="2" t="s">
        <v>126</v>
      </c>
      <c r="T20" s="7">
        <v>53336</v>
      </c>
      <c r="U20" s="7">
        <f t="shared" si="1"/>
        <v>34986122.552000001</v>
      </c>
      <c r="V20" s="17">
        <f ca="1">+(((Tableau1[[#This Row],[DELAI D''ATTENTE]]-60)*24000)+1236384)*1.1925</f>
        <v>5423947.9199999999</v>
      </c>
      <c r="W20" s="17">
        <f ca="1">+(((Tableau1[[#This Row],[DELAI D''ATTENTE]]-60)*21200)+1236384)*1.1925</f>
        <v>4963165.92</v>
      </c>
      <c r="X20" s="19" t="s">
        <v>152</v>
      </c>
    </row>
    <row r="21" spans="1:24" ht="22.8" x14ac:dyDescent="0.3">
      <c r="A21" s="18">
        <v>2656</v>
      </c>
      <c r="B21" s="3">
        <v>43479</v>
      </c>
      <c r="C21" s="2" t="s">
        <v>11</v>
      </c>
      <c r="D21" s="2" t="s">
        <v>41</v>
      </c>
      <c r="E21" s="2" t="s">
        <v>39</v>
      </c>
      <c r="F21" s="1" t="s">
        <v>34</v>
      </c>
      <c r="G21" s="1" t="s">
        <v>40</v>
      </c>
      <c r="H21" s="1" t="s">
        <v>171</v>
      </c>
      <c r="I21" s="2" t="s">
        <v>31</v>
      </c>
      <c r="J21" s="2"/>
      <c r="K21" s="2">
        <v>1</v>
      </c>
      <c r="L21" s="2"/>
      <c r="M21" s="2" t="s">
        <v>38</v>
      </c>
      <c r="N21" s="2"/>
      <c r="O21" s="3">
        <v>43477</v>
      </c>
      <c r="P21" s="17">
        <f t="shared" ca="1" si="0"/>
        <v>211</v>
      </c>
      <c r="Q21" s="2" t="s">
        <v>13</v>
      </c>
      <c r="R21" s="1" t="s">
        <v>183</v>
      </c>
      <c r="S21" s="2" t="s">
        <v>127</v>
      </c>
      <c r="T21" s="7">
        <v>100219.76</v>
      </c>
      <c r="U21" s="7">
        <f t="shared" si="1"/>
        <v>65739853.110319994</v>
      </c>
      <c r="V21" s="17">
        <f ca="1">+(((Tableau1[[#This Row],[DELAI D''ATTENTE]]-60)*24000)+1236384)*1.1925</f>
        <v>5796007.9199999999</v>
      </c>
      <c r="W21" s="17">
        <f ca="1">+(((Tableau1[[#This Row],[DELAI D''ATTENTE]]-60)*21200)+1236384)*1.1925</f>
        <v>5291818.92</v>
      </c>
      <c r="X21" s="19" t="s">
        <v>152</v>
      </c>
    </row>
    <row r="22" spans="1:24" ht="34.200000000000003" x14ac:dyDescent="0.3">
      <c r="A22" s="18">
        <v>2667</v>
      </c>
      <c r="B22" s="3">
        <v>43504</v>
      </c>
      <c r="C22" s="2" t="s">
        <v>118</v>
      </c>
      <c r="D22" s="2" t="s">
        <v>119</v>
      </c>
      <c r="E22" s="2" t="s">
        <v>120</v>
      </c>
      <c r="F22" s="1" t="s">
        <v>59</v>
      </c>
      <c r="G22" s="1" t="s">
        <v>121</v>
      </c>
      <c r="H22" s="1" t="s">
        <v>173</v>
      </c>
      <c r="I22" s="2" t="s">
        <v>53</v>
      </c>
      <c r="J22" s="2">
        <v>1</v>
      </c>
      <c r="K22" s="37">
        <v>1</v>
      </c>
      <c r="L22" s="2"/>
      <c r="M22" s="2" t="s">
        <v>71</v>
      </c>
      <c r="N22" s="3">
        <v>43553</v>
      </c>
      <c r="O22" s="3">
        <v>43552</v>
      </c>
      <c r="P22" s="17">
        <f t="shared" ca="1" si="0"/>
        <v>136</v>
      </c>
      <c r="Q22" s="2" t="s">
        <v>13</v>
      </c>
      <c r="R22" s="1" t="s">
        <v>72</v>
      </c>
      <c r="S22" s="2" t="s">
        <v>122</v>
      </c>
      <c r="T22" s="7">
        <v>118250</v>
      </c>
      <c r="U22" s="7">
        <f t="shared" si="1"/>
        <v>77566915.25</v>
      </c>
      <c r="V22" s="17">
        <f ca="1">+(((Tableau1[[#This Row],[DELAI D''ATTENTE]]-60)*24000)+1236384)*1.1925</f>
        <v>3649507.9199999995</v>
      </c>
      <c r="W22" s="17">
        <f ca="1">+(((Tableau1[[#This Row],[DELAI D''ATTENTE]]-60)*21200)+1236384)*1.1925</f>
        <v>3395743.92</v>
      </c>
      <c r="X22" s="19">
        <v>24339711</v>
      </c>
    </row>
    <row r="23" spans="1:24" ht="22.8" x14ac:dyDescent="0.3">
      <c r="A23" s="18">
        <v>2673</v>
      </c>
      <c r="B23" s="3">
        <v>43504</v>
      </c>
      <c r="C23" s="2" t="s">
        <v>47</v>
      </c>
      <c r="D23" s="2" t="s">
        <v>123</v>
      </c>
      <c r="E23" s="2" t="s">
        <v>158</v>
      </c>
      <c r="F23" s="1" t="s">
        <v>59</v>
      </c>
      <c r="G23" s="1" t="s">
        <v>121</v>
      </c>
      <c r="H23" s="1" t="s">
        <v>173</v>
      </c>
      <c r="I23" s="2" t="s">
        <v>31</v>
      </c>
      <c r="J23" s="2"/>
      <c r="K23" s="2">
        <v>1</v>
      </c>
      <c r="L23" s="2"/>
      <c r="M23" s="2" t="s">
        <v>71</v>
      </c>
      <c r="N23" s="3">
        <v>43556</v>
      </c>
      <c r="O23" s="3">
        <v>43525</v>
      </c>
      <c r="P23" s="17">
        <f t="shared" ca="1" si="0"/>
        <v>163</v>
      </c>
      <c r="Q23" s="2" t="s">
        <v>13</v>
      </c>
      <c r="R23" s="1" t="s">
        <v>124</v>
      </c>
      <c r="S23" s="2" t="s">
        <v>125</v>
      </c>
      <c r="T23" s="7">
        <v>203475</v>
      </c>
      <c r="U23" s="7">
        <f t="shared" si="1"/>
        <v>133470850.575</v>
      </c>
      <c r="V23" s="17">
        <f ca="1">+(((Tableau1[[#This Row],[DELAI D''ATTENTE]]-60)*24000)+1236384)*1.1925</f>
        <v>4422247.92</v>
      </c>
      <c r="W23" s="17">
        <f ca="1">+(((Tableau1[[#This Row],[DELAI D''ATTENTE]]-60)*21200)+1236384)*1.1925</f>
        <v>4078330.9199999995</v>
      </c>
      <c r="X23" s="19">
        <v>41878255</v>
      </c>
    </row>
    <row r="24" spans="1:24" ht="34.200000000000003" x14ac:dyDescent="0.3">
      <c r="A24" s="18">
        <v>2679</v>
      </c>
      <c r="B24" s="3">
        <v>43516</v>
      </c>
      <c r="C24" s="2" t="s">
        <v>47</v>
      </c>
      <c r="D24" s="2" t="s">
        <v>109</v>
      </c>
      <c r="E24" s="2" t="s">
        <v>110</v>
      </c>
      <c r="F24" s="1" t="s">
        <v>111</v>
      </c>
      <c r="G24" s="1" t="s">
        <v>112</v>
      </c>
      <c r="H24" s="1" t="s">
        <v>173</v>
      </c>
      <c r="I24" s="2" t="s">
        <v>31</v>
      </c>
      <c r="J24" s="2"/>
      <c r="K24" s="2">
        <v>1</v>
      </c>
      <c r="L24" s="2"/>
      <c r="M24" s="2" t="s">
        <v>71</v>
      </c>
      <c r="N24" s="2"/>
      <c r="O24" s="3">
        <v>43527</v>
      </c>
      <c r="P24" s="17">
        <f t="shared" ca="1" si="0"/>
        <v>161</v>
      </c>
      <c r="Q24" s="2" t="s">
        <v>13</v>
      </c>
      <c r="R24" s="1" t="s">
        <v>76</v>
      </c>
      <c r="S24" s="2" t="s">
        <v>113</v>
      </c>
      <c r="T24" s="7">
        <v>304705</v>
      </c>
      <c r="U24" s="7">
        <f t="shared" si="1"/>
        <v>199873377.685</v>
      </c>
      <c r="V24" s="17">
        <v>1120473</v>
      </c>
      <c r="W24" s="17">
        <f>1289331+(21200*1+1.1925)</f>
        <v>1310532.1924999999</v>
      </c>
      <c r="X24" s="19">
        <v>69033171</v>
      </c>
    </row>
    <row r="25" spans="1:24" ht="45.6" x14ac:dyDescent="0.3">
      <c r="A25" s="18">
        <v>2680</v>
      </c>
      <c r="B25" s="3">
        <v>43516</v>
      </c>
      <c r="C25" s="2" t="s">
        <v>47</v>
      </c>
      <c r="D25" s="2" t="s">
        <v>114</v>
      </c>
      <c r="E25" s="2" t="s">
        <v>110</v>
      </c>
      <c r="F25" s="1" t="s">
        <v>111</v>
      </c>
      <c r="G25" s="1" t="s">
        <v>115</v>
      </c>
      <c r="H25" s="1" t="s">
        <v>171</v>
      </c>
      <c r="I25" s="2" t="s">
        <v>116</v>
      </c>
      <c r="J25" s="2">
        <v>1</v>
      </c>
      <c r="K25" s="37">
        <v>2</v>
      </c>
      <c r="L25" s="2"/>
      <c r="M25" s="2" t="s">
        <v>71</v>
      </c>
      <c r="N25" s="2"/>
      <c r="O25" s="3">
        <v>43527</v>
      </c>
      <c r="P25" s="17">
        <f t="shared" ca="1" si="0"/>
        <v>161</v>
      </c>
      <c r="Q25" s="2" t="s">
        <v>13</v>
      </c>
      <c r="R25" s="1" t="s">
        <v>76</v>
      </c>
      <c r="S25" s="2" t="s">
        <v>117</v>
      </c>
      <c r="T25" s="7">
        <v>131502</v>
      </c>
      <c r="U25" s="7">
        <f t="shared" si="1"/>
        <v>86259657.414000005</v>
      </c>
      <c r="V25" s="17">
        <f>+V24*2</f>
        <v>2240946</v>
      </c>
      <c r="W25" s="17">
        <f>+W24*2</f>
        <v>2621064.3849999998</v>
      </c>
      <c r="X25" s="19">
        <v>27719448</v>
      </c>
    </row>
    <row r="26" spans="1:24" ht="34.200000000000003" x14ac:dyDescent="0.3">
      <c r="A26" s="18">
        <v>2681</v>
      </c>
      <c r="B26" s="3">
        <v>43511</v>
      </c>
      <c r="C26" s="2" t="s">
        <v>47</v>
      </c>
      <c r="D26" s="2" t="s">
        <v>93</v>
      </c>
      <c r="E26" s="2" t="s">
        <v>94</v>
      </c>
      <c r="F26" s="1" t="s">
        <v>66</v>
      </c>
      <c r="G26" s="1" t="s">
        <v>95</v>
      </c>
      <c r="H26" s="1" t="s">
        <v>172</v>
      </c>
      <c r="I26" s="2" t="s">
        <v>96</v>
      </c>
      <c r="J26" s="2"/>
      <c r="K26" s="2">
        <v>2</v>
      </c>
      <c r="L26" s="2"/>
      <c r="M26" s="2" t="s">
        <v>38</v>
      </c>
      <c r="N26" s="2"/>
      <c r="O26" s="3">
        <v>43527</v>
      </c>
      <c r="P26" s="17">
        <f t="shared" ca="1" si="0"/>
        <v>161</v>
      </c>
      <c r="Q26" s="2" t="s">
        <v>13</v>
      </c>
      <c r="R26" s="1" t="s">
        <v>76</v>
      </c>
      <c r="S26" s="2" t="s">
        <v>97</v>
      </c>
      <c r="T26" s="7">
        <v>206702</v>
      </c>
      <c r="U26" s="7">
        <f t="shared" si="1"/>
        <v>135587623.81400001</v>
      </c>
      <c r="V26" s="17">
        <f>+Q53+P56*2</f>
        <v>1740384</v>
      </c>
      <c r="W26" s="17">
        <v>3185406</v>
      </c>
      <c r="X26" s="19">
        <v>44600728</v>
      </c>
    </row>
    <row r="27" spans="1:24" ht="34.200000000000003" x14ac:dyDescent="0.3">
      <c r="A27" s="18">
        <v>2685</v>
      </c>
      <c r="B27" s="3">
        <v>43552</v>
      </c>
      <c r="C27" s="2" t="s">
        <v>23</v>
      </c>
      <c r="D27" s="2">
        <v>1808234841</v>
      </c>
      <c r="E27" s="2" t="s">
        <v>73</v>
      </c>
      <c r="F27" s="1" t="s">
        <v>27</v>
      </c>
      <c r="G27" s="1" t="s">
        <v>74</v>
      </c>
      <c r="H27" s="1" t="s">
        <v>173</v>
      </c>
      <c r="I27" s="2" t="s">
        <v>75</v>
      </c>
      <c r="J27" s="2"/>
      <c r="K27" s="2">
        <v>7</v>
      </c>
      <c r="L27" s="2"/>
      <c r="M27" s="2" t="s">
        <v>35</v>
      </c>
      <c r="N27" s="2"/>
      <c r="O27" s="3">
        <v>43506</v>
      </c>
      <c r="P27" s="17">
        <f t="shared" ca="1" si="0"/>
        <v>182</v>
      </c>
      <c r="Q27" s="2" t="s">
        <v>13</v>
      </c>
      <c r="R27" s="1" t="s">
        <v>76</v>
      </c>
      <c r="S27" s="2" t="s">
        <v>89</v>
      </c>
      <c r="T27" s="7">
        <v>579300</v>
      </c>
      <c r="U27" s="7">
        <f t="shared" si="1"/>
        <v>379995890.10000002</v>
      </c>
      <c r="V27" s="17">
        <f ca="1">+(((Tableau1[[#This Row],[DELAI D''ATTENTE]]-60)*24000)+1236384)*1.1925</f>
        <v>4966027.92</v>
      </c>
      <c r="W27" s="17">
        <f ca="1">+(((Tableau1[[#This Row],[DELAI D''ATTENTE]]-60)*21200)+1236384)*1.1925</f>
        <v>4558669.92</v>
      </c>
      <c r="X27" s="19">
        <v>119223503</v>
      </c>
    </row>
    <row r="28" spans="1:24" ht="22.8" x14ac:dyDescent="0.3">
      <c r="A28" s="18">
        <v>2688</v>
      </c>
      <c r="B28" s="3">
        <v>43531</v>
      </c>
      <c r="C28" s="2" t="s">
        <v>47</v>
      </c>
      <c r="D28" s="2">
        <v>1806231201</v>
      </c>
      <c r="E28" s="2" t="s">
        <v>58</v>
      </c>
      <c r="F28" s="1" t="s">
        <v>59</v>
      </c>
      <c r="G28" s="1" t="s">
        <v>60</v>
      </c>
      <c r="H28" s="1" t="s">
        <v>173</v>
      </c>
      <c r="I28" s="2" t="s">
        <v>53</v>
      </c>
      <c r="J28" s="2">
        <v>1</v>
      </c>
      <c r="K28" s="37">
        <v>1</v>
      </c>
      <c r="L28" s="2"/>
      <c r="M28" s="2" t="s">
        <v>32</v>
      </c>
      <c r="N28" s="3">
        <v>43553</v>
      </c>
      <c r="O28" s="3">
        <v>43557</v>
      </c>
      <c r="P28" s="17">
        <f t="shared" ca="1" si="0"/>
        <v>131</v>
      </c>
      <c r="Q28" s="2" t="s">
        <v>13</v>
      </c>
      <c r="R28" s="1" t="s">
        <v>61</v>
      </c>
      <c r="S28" s="2" t="s">
        <v>168</v>
      </c>
      <c r="T28" s="7">
        <v>334711.05</v>
      </c>
      <c r="U28" s="7">
        <f t="shared" si="1"/>
        <v>219556056.22485</v>
      </c>
      <c r="V28" s="17">
        <v>1236384</v>
      </c>
      <c r="W28" s="17">
        <f>509000*1.1925</f>
        <v>606982.5</v>
      </c>
      <c r="X28" s="19">
        <v>68886066</v>
      </c>
    </row>
    <row r="29" spans="1:24" ht="21.6" customHeight="1" x14ac:dyDescent="0.3">
      <c r="A29" s="18">
        <v>2691</v>
      </c>
      <c r="B29" s="3">
        <v>43543</v>
      </c>
      <c r="C29" s="2" t="s">
        <v>47</v>
      </c>
      <c r="D29" s="2">
        <v>1808233903</v>
      </c>
      <c r="E29" s="2" t="s">
        <v>62</v>
      </c>
      <c r="F29" s="1" t="s">
        <v>59</v>
      </c>
      <c r="G29" s="1" t="s">
        <v>63</v>
      </c>
      <c r="H29" s="1" t="s">
        <v>172</v>
      </c>
      <c r="I29" s="2" t="s">
        <v>57</v>
      </c>
      <c r="J29" s="2"/>
      <c r="K29" s="2"/>
      <c r="L29" s="2">
        <v>10</v>
      </c>
      <c r="M29" s="2" t="s">
        <v>64</v>
      </c>
      <c r="N29" s="3">
        <v>43565</v>
      </c>
      <c r="O29" s="3">
        <v>43539</v>
      </c>
      <c r="P29" s="17">
        <f t="shared" ca="1" si="0"/>
        <v>149</v>
      </c>
      <c r="Q29" s="2" t="s">
        <v>13</v>
      </c>
      <c r="R29" s="1" t="s">
        <v>65</v>
      </c>
      <c r="S29" s="2" t="s">
        <v>169</v>
      </c>
      <c r="T29" s="7">
        <v>241569</v>
      </c>
      <c r="U29" s="7">
        <f t="shared" si="1"/>
        <v>158458876.53299999</v>
      </c>
      <c r="V29" s="17">
        <f ca="1">+(((Tableau1[[#This Row],[DELAI D''ATTENTE]]-60)*24000)+1236384)*1.1925</f>
        <v>4021567.9199999995</v>
      </c>
      <c r="W29" s="17">
        <f ca="1">+(((Tableau1[[#This Row],[DELAI D''ATTENTE]]-60)*21200)+1236384)*1.1925</f>
        <v>3724396.9199999995</v>
      </c>
      <c r="X29" s="19">
        <v>49717039</v>
      </c>
    </row>
    <row r="30" spans="1:24" ht="34.200000000000003" x14ac:dyDescent="0.3">
      <c r="A30" s="18">
        <v>2692</v>
      </c>
      <c r="B30" s="3">
        <v>43553</v>
      </c>
      <c r="C30" s="2" t="s">
        <v>23</v>
      </c>
      <c r="D30" s="2">
        <v>1809236011</v>
      </c>
      <c r="E30" s="2" t="s">
        <v>77</v>
      </c>
      <c r="F30" s="1" t="s">
        <v>78</v>
      </c>
      <c r="G30" s="1" t="s">
        <v>79</v>
      </c>
      <c r="H30" s="1" t="s">
        <v>173</v>
      </c>
      <c r="I30" s="2" t="s">
        <v>80</v>
      </c>
      <c r="J30" s="2"/>
      <c r="K30" s="2"/>
      <c r="L30" s="2">
        <v>1</v>
      </c>
      <c r="M30" s="2" t="s">
        <v>12</v>
      </c>
      <c r="N30" s="2"/>
      <c r="O30" s="3">
        <v>43562</v>
      </c>
      <c r="P30" s="17">
        <f t="shared" ca="1" si="0"/>
        <v>126</v>
      </c>
      <c r="Q30" s="2" t="s">
        <v>13</v>
      </c>
      <c r="R30" s="1" t="s">
        <v>76</v>
      </c>
      <c r="S30" s="2">
        <v>16500331421</v>
      </c>
      <c r="T30" s="7">
        <v>3939</v>
      </c>
      <c r="U30" s="7">
        <f t="shared" si="1"/>
        <v>2583814.6230000001</v>
      </c>
      <c r="V30" s="17">
        <f ca="1">+(((Tableau1[[#This Row],[DELAI D''ATTENTE]]-60)*24000)+1236384)*1.1925</f>
        <v>3363307.92</v>
      </c>
      <c r="W30" s="17">
        <f ca="1">+(((Tableau1[[#This Row],[DELAI D''ATTENTE]]-60)*21200)+1236384)*1.1925</f>
        <v>3142933.92</v>
      </c>
      <c r="X30" s="19">
        <v>813587</v>
      </c>
    </row>
    <row r="31" spans="1:24" ht="15.6" customHeight="1" x14ac:dyDescent="0.3">
      <c r="A31" s="18">
        <v>2695</v>
      </c>
      <c r="B31" s="31">
        <v>43550</v>
      </c>
      <c r="C31" s="32" t="s">
        <v>118</v>
      </c>
      <c r="D31" s="33">
        <v>1810238263</v>
      </c>
      <c r="E31" s="32" t="s">
        <v>162</v>
      </c>
      <c r="F31" s="38" t="s">
        <v>163</v>
      </c>
      <c r="G31" s="38" t="s">
        <v>164</v>
      </c>
      <c r="H31" s="38" t="s">
        <v>172</v>
      </c>
      <c r="I31" s="7" t="s">
        <v>178</v>
      </c>
      <c r="J31" s="7"/>
      <c r="K31" s="7"/>
      <c r="L31" s="7">
        <v>69</v>
      </c>
      <c r="M31" s="7" t="s">
        <v>165</v>
      </c>
      <c r="N31" s="7" t="s">
        <v>166</v>
      </c>
      <c r="O31" s="7">
        <v>43543</v>
      </c>
      <c r="P31" s="17">
        <f t="shared" ca="1" si="0"/>
        <v>145</v>
      </c>
      <c r="Q31" s="7" t="s">
        <v>13</v>
      </c>
      <c r="R31" s="7" t="s">
        <v>167</v>
      </c>
      <c r="S31" s="34"/>
      <c r="T31" s="7">
        <v>391812</v>
      </c>
      <c r="U31" s="7">
        <f t="shared" si="1"/>
        <v>257011824.08399999</v>
      </c>
      <c r="V31" s="17">
        <v>0</v>
      </c>
      <c r="W31" s="46">
        <v>31000000</v>
      </c>
      <c r="X31" s="19" t="s">
        <v>151</v>
      </c>
    </row>
    <row r="32" spans="1:24" ht="22.8" x14ac:dyDescent="0.3">
      <c r="A32" s="18">
        <v>2696</v>
      </c>
      <c r="B32" s="3">
        <v>43557</v>
      </c>
      <c r="C32" s="2" t="s">
        <v>33</v>
      </c>
      <c r="D32" s="2">
        <v>1808234075</v>
      </c>
      <c r="E32" s="2" t="s">
        <v>90</v>
      </c>
      <c r="F32" s="1" t="s">
        <v>17</v>
      </c>
      <c r="G32" s="1" t="s">
        <v>91</v>
      </c>
      <c r="H32" s="1" t="s">
        <v>172</v>
      </c>
      <c r="I32" s="2" t="s">
        <v>92</v>
      </c>
      <c r="J32" s="2"/>
      <c r="K32" s="2"/>
      <c r="L32" s="2">
        <v>1</v>
      </c>
      <c r="M32" s="2" t="s">
        <v>12</v>
      </c>
      <c r="N32" s="3">
        <v>43553</v>
      </c>
      <c r="O32" s="3">
        <v>43561</v>
      </c>
      <c r="P32" s="17">
        <f t="shared" ca="1" si="0"/>
        <v>127</v>
      </c>
      <c r="Q32" s="2" t="s">
        <v>13</v>
      </c>
      <c r="R32" s="1" t="s">
        <v>86</v>
      </c>
      <c r="S32" s="2">
        <v>16500332590</v>
      </c>
      <c r="T32" s="7">
        <v>6165</v>
      </c>
      <c r="U32" s="7">
        <f t="shared" si="1"/>
        <v>4043974.9049999998</v>
      </c>
      <c r="V32" s="17">
        <f ca="1">+(((Tableau1[[#This Row],[DELAI D''ATTENTE]]-60)*24000)+1236384)*1.1925</f>
        <v>3391927.92</v>
      </c>
      <c r="W32" s="17">
        <f ca="1">+(((Tableau1[[#This Row],[DELAI D''ATTENTE]]-60)*21200)+1236384)*1.1925</f>
        <v>3168214.92</v>
      </c>
      <c r="X32" s="19">
        <v>1270617</v>
      </c>
    </row>
    <row r="33" spans="1:24" ht="22.05" customHeight="1" x14ac:dyDescent="0.3">
      <c r="A33" s="18">
        <v>2698</v>
      </c>
      <c r="B33" s="3">
        <v>43563</v>
      </c>
      <c r="C33" s="2" t="s">
        <v>68</v>
      </c>
      <c r="D33" s="2">
        <v>1808234823</v>
      </c>
      <c r="E33" s="2" t="s">
        <v>69</v>
      </c>
      <c r="F33" s="1" t="s">
        <v>17</v>
      </c>
      <c r="G33" s="1" t="s">
        <v>70</v>
      </c>
      <c r="H33" s="1" t="s">
        <v>173</v>
      </c>
      <c r="I33" s="2" t="s">
        <v>53</v>
      </c>
      <c r="J33" s="2">
        <v>1</v>
      </c>
      <c r="K33" s="37">
        <v>1</v>
      </c>
      <c r="L33" s="2"/>
      <c r="M33" s="2" t="s">
        <v>35</v>
      </c>
      <c r="N33" s="3">
        <v>43563</v>
      </c>
      <c r="O33" s="3">
        <v>43569</v>
      </c>
      <c r="P33" s="17">
        <f t="shared" ca="1" si="0"/>
        <v>119</v>
      </c>
      <c r="Q33" s="2" t="s">
        <v>13</v>
      </c>
      <c r="R33" s="1" t="s">
        <v>65</v>
      </c>
      <c r="S33" s="2" t="s">
        <v>88</v>
      </c>
      <c r="T33" s="7">
        <v>22237.3</v>
      </c>
      <c r="U33" s="7">
        <f t="shared" si="1"/>
        <v>14586712.596099999</v>
      </c>
      <c r="V33" s="17">
        <v>300749</v>
      </c>
      <c r="W33" s="17">
        <v>480339</v>
      </c>
      <c r="X33" s="19">
        <v>4577651</v>
      </c>
    </row>
    <row r="34" spans="1:24" ht="22.8" x14ac:dyDescent="0.3">
      <c r="A34" s="18">
        <v>2716</v>
      </c>
      <c r="B34" s="3">
        <v>43582</v>
      </c>
      <c r="C34" s="2" t="s">
        <v>81</v>
      </c>
      <c r="D34" s="2">
        <v>1808234113</v>
      </c>
      <c r="E34" s="2" t="s">
        <v>82</v>
      </c>
      <c r="F34" s="1" t="s">
        <v>83</v>
      </c>
      <c r="G34" s="1" t="s">
        <v>84</v>
      </c>
      <c r="H34" s="1" t="s">
        <v>171</v>
      </c>
      <c r="I34" s="2" t="s">
        <v>31</v>
      </c>
      <c r="J34" s="2"/>
      <c r="K34" s="2">
        <v>1</v>
      </c>
      <c r="L34" s="2"/>
      <c r="M34" s="2" t="s">
        <v>32</v>
      </c>
      <c r="N34" s="2"/>
      <c r="O34" s="3">
        <v>43575</v>
      </c>
      <c r="P34" s="17">
        <f t="shared" ca="1" si="0"/>
        <v>113</v>
      </c>
      <c r="Q34" s="2" t="s">
        <v>85</v>
      </c>
      <c r="R34" s="1" t="s">
        <v>148</v>
      </c>
      <c r="S34" s="2">
        <v>968120223</v>
      </c>
      <c r="T34" s="7">
        <v>30993.200000000001</v>
      </c>
      <c r="U34" s="7">
        <f t="shared" si="1"/>
        <v>20330206.492400002</v>
      </c>
      <c r="V34" s="17">
        <f ca="1">+(((Tableau1[[#This Row],[DELAI D''ATTENTE]]-60)*24000)+1236384)*1.1925</f>
        <v>2991247.92</v>
      </c>
      <c r="W34" s="17">
        <f ca="1">+(((Tableau1[[#This Row],[DELAI D''ATTENTE]]-60)*21200)+1236384)*1.1925</f>
        <v>2814280.92</v>
      </c>
      <c r="X34" s="19">
        <v>9400627</v>
      </c>
    </row>
    <row r="35" spans="1:24" ht="22.8" x14ac:dyDescent="0.3">
      <c r="A35" s="18">
        <v>2718</v>
      </c>
      <c r="B35" s="3">
        <v>43578</v>
      </c>
      <c r="C35" s="2" t="s">
        <v>81</v>
      </c>
      <c r="D35" s="2">
        <v>1808234113</v>
      </c>
      <c r="E35" s="2" t="s">
        <v>82</v>
      </c>
      <c r="F35" s="1" t="s">
        <v>83</v>
      </c>
      <c r="G35" s="1" t="s">
        <v>84</v>
      </c>
      <c r="H35" s="1" t="s">
        <v>171</v>
      </c>
      <c r="I35" s="2" t="s">
        <v>31</v>
      </c>
      <c r="J35" s="2"/>
      <c r="K35" s="2">
        <v>1</v>
      </c>
      <c r="L35" s="2"/>
      <c r="M35" s="2" t="s">
        <v>32</v>
      </c>
      <c r="N35" s="2"/>
      <c r="O35" s="3">
        <v>43575</v>
      </c>
      <c r="P35" s="17">
        <f t="shared" ca="1" si="0"/>
        <v>113</v>
      </c>
      <c r="Q35" s="2" t="s">
        <v>85</v>
      </c>
      <c r="R35" s="1" t="s">
        <v>148</v>
      </c>
      <c r="S35" s="2">
        <v>968114838</v>
      </c>
      <c r="T35" s="7">
        <v>37859</v>
      </c>
      <c r="U35" s="7">
        <f t="shared" si="1"/>
        <v>24833876.063000001</v>
      </c>
      <c r="V35" s="17">
        <f ca="1">+(((Tableau1[[#This Row],[DELAI D''ATTENTE]]-60)*24000)+1236384)*1.1925</f>
        <v>2991247.92</v>
      </c>
      <c r="W35" s="17">
        <f ca="1">+(((Tableau1[[#This Row],[DELAI D''ATTENTE]]-60)*21200)+1236384)*1.1925</f>
        <v>2814280.92</v>
      </c>
      <c r="X35" s="19">
        <v>11344080</v>
      </c>
    </row>
    <row r="36" spans="1:24" ht="22.8" x14ac:dyDescent="0.3">
      <c r="A36" s="18">
        <v>2719</v>
      </c>
      <c r="B36" s="3">
        <v>43578</v>
      </c>
      <c r="C36" s="2" t="s">
        <v>81</v>
      </c>
      <c r="D36" s="2">
        <v>1808234113</v>
      </c>
      <c r="E36" s="2" t="s">
        <v>150</v>
      </c>
      <c r="F36" s="1" t="s">
        <v>83</v>
      </c>
      <c r="G36" s="1" t="s">
        <v>84</v>
      </c>
      <c r="H36" s="1" t="s">
        <v>171</v>
      </c>
      <c r="I36" s="2" t="s">
        <v>140</v>
      </c>
      <c r="J36" s="2"/>
      <c r="K36" s="2">
        <v>1</v>
      </c>
      <c r="L36" s="2"/>
      <c r="M36" s="2" t="s">
        <v>32</v>
      </c>
      <c r="N36" s="2"/>
      <c r="O36" s="3">
        <v>43585</v>
      </c>
      <c r="P36" s="17">
        <f t="shared" ca="1" si="0"/>
        <v>103</v>
      </c>
      <c r="Q36" s="2" t="s">
        <v>85</v>
      </c>
      <c r="R36" s="1" t="s">
        <v>148</v>
      </c>
      <c r="S36" s="2" t="s">
        <v>150</v>
      </c>
      <c r="T36" s="7">
        <v>25165.599999999999</v>
      </c>
      <c r="U36" s="7">
        <f t="shared" si="1"/>
        <v>16507551.479199998</v>
      </c>
      <c r="V36" s="17">
        <f ca="1">+(((Tableau1[[#This Row],[DELAI D''ATTENTE]]-60)*24000)+1236384)*1.1925</f>
        <v>2705047.92</v>
      </c>
      <c r="W36" s="17">
        <f ca="1">+(((Tableau1[[#This Row],[DELAI D''ATTENTE]]-60)*21200)+1236384)*1.1925</f>
        <v>2561470.92</v>
      </c>
      <c r="X36" s="19">
        <v>7751049</v>
      </c>
    </row>
    <row r="37" spans="1:24" s="12" customFormat="1" ht="22.8" x14ac:dyDescent="0.3">
      <c r="A37" s="18">
        <v>2729</v>
      </c>
      <c r="B37" s="3">
        <v>43592</v>
      </c>
      <c r="C37" s="2" t="s">
        <v>81</v>
      </c>
      <c r="D37" s="2">
        <v>1810237912</v>
      </c>
      <c r="E37" s="2" t="s">
        <v>146</v>
      </c>
      <c r="F37" s="1" t="s">
        <v>83</v>
      </c>
      <c r="G37" s="1" t="s">
        <v>147</v>
      </c>
      <c r="H37" s="1" t="s">
        <v>173</v>
      </c>
      <c r="I37" s="2" t="s">
        <v>53</v>
      </c>
      <c r="J37" s="2">
        <v>1</v>
      </c>
      <c r="K37" s="37">
        <v>1</v>
      </c>
      <c r="L37" s="2"/>
      <c r="M37" s="2" t="s">
        <v>32</v>
      </c>
      <c r="N37" s="2"/>
      <c r="O37" s="3">
        <v>43591</v>
      </c>
      <c r="P37" s="17">
        <f t="shared" ca="1" si="0"/>
        <v>97</v>
      </c>
      <c r="Q37" s="2" t="s">
        <v>85</v>
      </c>
      <c r="R37" s="1" t="s">
        <v>148</v>
      </c>
      <c r="S37" s="2" t="s">
        <v>146</v>
      </c>
      <c r="T37" s="7">
        <v>51402.239999999998</v>
      </c>
      <c r="U37" s="7">
        <f t="shared" si="1"/>
        <v>33717659.143679999</v>
      </c>
      <c r="V37" s="17">
        <f ca="1">+(((Tableau1[[#This Row],[DELAI D''ATTENTE]]-60)*24000)+1236384)*1.1925</f>
        <v>2533327.92</v>
      </c>
      <c r="W37" s="17">
        <f ca="1">+(((Tableau1[[#This Row],[DELAI D''ATTENTE]]-60)*21200)+1236384)*1.1925</f>
        <v>2409784.92</v>
      </c>
      <c r="X37" s="19">
        <v>14968137</v>
      </c>
    </row>
    <row r="38" spans="1:24" ht="22.05" customHeight="1" x14ac:dyDescent="0.3">
      <c r="A38" s="25">
        <v>2730</v>
      </c>
      <c r="B38" s="26">
        <v>43592</v>
      </c>
      <c r="C38" s="27" t="s">
        <v>81</v>
      </c>
      <c r="D38" s="27">
        <v>1808234113</v>
      </c>
      <c r="E38" s="27" t="s">
        <v>149</v>
      </c>
      <c r="F38" s="28" t="s">
        <v>83</v>
      </c>
      <c r="G38" s="28" t="s">
        <v>84</v>
      </c>
      <c r="H38" s="28" t="s">
        <v>171</v>
      </c>
      <c r="I38" s="27" t="s">
        <v>140</v>
      </c>
      <c r="J38" s="27"/>
      <c r="K38" s="27">
        <v>1</v>
      </c>
      <c r="L38" s="27"/>
      <c r="M38" s="27" t="s">
        <v>32</v>
      </c>
      <c r="N38" s="27"/>
      <c r="O38" s="26">
        <v>43585</v>
      </c>
      <c r="P38" s="47">
        <f t="shared" ca="1" si="0"/>
        <v>103</v>
      </c>
      <c r="Q38" s="27" t="s">
        <v>85</v>
      </c>
      <c r="R38" s="28" t="s">
        <v>148</v>
      </c>
      <c r="S38" s="27" t="s">
        <v>149</v>
      </c>
      <c r="T38" s="29">
        <v>20879.2</v>
      </c>
      <c r="U38" s="29">
        <f t="shared" si="1"/>
        <v>13695857.394400001</v>
      </c>
      <c r="V38" s="17">
        <f ca="1">+(((Tableau1[[#This Row],[DELAI D''ATTENTE]]-60)*24000)+1236384)*1.1925</f>
        <v>2705047.92</v>
      </c>
      <c r="W38" s="17">
        <f ca="1">+(((Tableau1[[#This Row],[DELAI D''ATTENTE]]-60)*21200)+1236384)*1.1925</f>
        <v>2561470.92</v>
      </c>
      <c r="X38" s="30">
        <v>6537726</v>
      </c>
    </row>
    <row r="39" spans="1:24" ht="11.4" x14ac:dyDescent="0.3">
      <c r="C39" s="4"/>
    </row>
    <row r="40" spans="1:24" ht="11.4" x14ac:dyDescent="0.3">
      <c r="C40" s="4"/>
    </row>
    <row r="41" spans="1:24" ht="11.4" x14ac:dyDescent="0.3">
      <c r="C41" s="4"/>
    </row>
    <row r="42" spans="1:24" ht="11.4" x14ac:dyDescent="0.3">
      <c r="C42" s="4"/>
    </row>
    <row r="43" spans="1:24" ht="11.4" x14ac:dyDescent="0.3">
      <c r="C43" s="4"/>
      <c r="I43" s="15">
        <f>SUM(I5:I38)</f>
        <v>0</v>
      </c>
      <c r="J43" s="15">
        <f>SUBTOTAL(9,J4:J39)</f>
        <v>8</v>
      </c>
      <c r="K43" s="15">
        <f>SUBTOTAL(9,K4:K39)</f>
        <v>54</v>
      </c>
      <c r="L43" s="15">
        <f>SUBTOTAL(9,L4:L39)</f>
        <v>81</v>
      </c>
      <c r="P43" s="6">
        <f ca="1">(SUBTOTAL(1,(P5:P39)))</f>
        <v>209.11764705882354</v>
      </c>
      <c r="T43" s="15">
        <f>SUBTOTAL(9,T4:T39)</f>
        <v>5793997.6099999994</v>
      </c>
      <c r="U43" s="15">
        <f>SUBTOTAL(9,U4:U39)</f>
        <v>3800613290.2627707</v>
      </c>
      <c r="V43" s="15">
        <f ca="1">SUBTOTAL(9,V4:V39)</f>
        <v>207611678.23999983</v>
      </c>
      <c r="W43" s="15">
        <f ca="1">SUBTOTAL(9,W4:W39)</f>
        <v>256833902.03749982</v>
      </c>
      <c r="X43" s="15">
        <f>SUBTOTAL(9,X4:X39)</f>
        <v>895074713</v>
      </c>
    </row>
    <row r="44" spans="1:24" thickBot="1" x14ac:dyDescent="0.35">
      <c r="C44" s="4"/>
      <c r="N44" s="39"/>
    </row>
    <row r="45" spans="1:24" thickTop="1" x14ac:dyDescent="0.3">
      <c r="C45" s="4"/>
    </row>
    <row r="46" spans="1:24" ht="11.4" x14ac:dyDescent="0.3">
      <c r="C46" s="4"/>
    </row>
    <row r="47" spans="1:24" ht="11.4" x14ac:dyDescent="0.3">
      <c r="C47" s="4"/>
      <c r="P47" s="44" t="s">
        <v>174</v>
      </c>
      <c r="Q47" s="44"/>
      <c r="R47" s="44" t="s">
        <v>175</v>
      </c>
      <c r="S47" s="44"/>
    </row>
    <row r="48" spans="1:24" ht="11.4" x14ac:dyDescent="0.3">
      <c r="C48" s="4"/>
    </row>
    <row r="49" spans="3:20" ht="11.4" x14ac:dyDescent="0.3">
      <c r="C49" s="4"/>
      <c r="T49" s="6">
        <f>+S50*R50</f>
        <v>127600</v>
      </c>
    </row>
    <row r="50" spans="3:20" ht="11.4" x14ac:dyDescent="0.3">
      <c r="C50" s="4"/>
      <c r="P50" s="6">
        <v>146</v>
      </c>
      <c r="Q50" s="6">
        <f>+P50*24000</f>
        <v>3504000</v>
      </c>
      <c r="R50" s="35">
        <v>11</v>
      </c>
      <c r="S50" s="4">
        <v>11600</v>
      </c>
    </row>
    <row r="51" spans="3:20" ht="11.4" x14ac:dyDescent="0.3">
      <c r="C51" s="4"/>
      <c r="L51" s="5">
        <f>43200/4</f>
        <v>10800</v>
      </c>
      <c r="P51" s="6">
        <v>104</v>
      </c>
      <c r="Q51" s="6">
        <f>+P51*24000</f>
        <v>2496000</v>
      </c>
      <c r="R51" s="35"/>
      <c r="S51" s="4">
        <v>21200</v>
      </c>
    </row>
    <row r="52" spans="3:20" ht="11.4" x14ac:dyDescent="0.3">
      <c r="C52" s="4"/>
      <c r="P52" s="6">
        <v>81</v>
      </c>
      <c r="Q52" s="6">
        <f>+P52*24000</f>
        <v>1944000</v>
      </c>
      <c r="R52" s="35"/>
    </row>
    <row r="53" spans="3:20" ht="11.4" x14ac:dyDescent="0.3">
      <c r="C53" s="4"/>
      <c r="P53" s="6">
        <v>21</v>
      </c>
      <c r="Q53" s="6">
        <f>+P53*24000</f>
        <v>504000</v>
      </c>
      <c r="R53" s="35"/>
    </row>
    <row r="54" spans="3:20" ht="11.4" x14ac:dyDescent="0.3">
      <c r="C54" s="4"/>
      <c r="P54" s="6"/>
      <c r="Q54" s="6"/>
      <c r="R54" s="35"/>
    </row>
    <row r="55" spans="3:20" ht="11.4" x14ac:dyDescent="0.3">
      <c r="C55" s="4"/>
      <c r="P55" s="6"/>
      <c r="Q55" s="6"/>
      <c r="R55" s="35"/>
    </row>
    <row r="56" spans="3:20" ht="11.4" x14ac:dyDescent="0.3">
      <c r="C56" s="4"/>
      <c r="P56" s="6">
        <f>(1200+4800+14400+110000+88000+300000)*1.1925</f>
        <v>618192</v>
      </c>
      <c r="Q56" s="6"/>
      <c r="R56" s="35"/>
    </row>
    <row r="57" spans="3:20" ht="11.4" x14ac:dyDescent="0.3">
      <c r="C57" s="4"/>
      <c r="M57" s="5" t="s">
        <v>165</v>
      </c>
      <c r="N57" s="4" t="s">
        <v>180</v>
      </c>
      <c r="O57" s="4">
        <v>68</v>
      </c>
      <c r="P57" s="6"/>
      <c r="Q57" s="6"/>
      <c r="R57" s="35"/>
    </row>
    <row r="58" spans="3:20" ht="11.4" x14ac:dyDescent="0.3">
      <c r="C58" s="4"/>
      <c r="M58" s="5" t="s">
        <v>64</v>
      </c>
      <c r="N58" s="4" t="s">
        <v>181</v>
      </c>
      <c r="O58" s="4">
        <v>72</v>
      </c>
      <c r="P58" s="6"/>
      <c r="Q58" s="6"/>
      <c r="R58" s="35"/>
    </row>
    <row r="59" spans="3:20" ht="11.4" x14ac:dyDescent="0.3">
      <c r="C59" s="4"/>
      <c r="M59" s="5" t="s">
        <v>71</v>
      </c>
      <c r="N59" s="4">
        <v>5</v>
      </c>
      <c r="O59" s="4">
        <v>78</v>
      </c>
      <c r="Q59" s="6"/>
      <c r="R59" s="35"/>
    </row>
    <row r="60" spans="3:20" ht="11.4" x14ac:dyDescent="0.3">
      <c r="C60" s="4"/>
      <c r="M60" s="5" t="s">
        <v>56</v>
      </c>
      <c r="N60" s="4">
        <v>1</v>
      </c>
      <c r="O60" s="4">
        <v>176</v>
      </c>
      <c r="Q60" s="6"/>
      <c r="R60" s="35"/>
    </row>
    <row r="61" spans="3:20" ht="11.4" x14ac:dyDescent="0.3">
      <c r="C61" s="4"/>
      <c r="M61" s="5" t="s">
        <v>12</v>
      </c>
      <c r="N61" s="4" t="s">
        <v>179</v>
      </c>
      <c r="O61" s="4">
        <v>50</v>
      </c>
      <c r="Q61" s="6"/>
      <c r="R61" s="35"/>
    </row>
    <row r="62" spans="3:20" ht="11.4" x14ac:dyDescent="0.3">
      <c r="C62" s="4"/>
      <c r="M62" s="5" t="s">
        <v>32</v>
      </c>
      <c r="N62" s="4">
        <v>11</v>
      </c>
      <c r="O62" s="4">
        <v>114</v>
      </c>
      <c r="Q62" s="6"/>
      <c r="R62" s="35"/>
    </row>
    <row r="63" spans="3:20" ht="11.4" x14ac:dyDescent="0.3">
      <c r="C63" s="4"/>
      <c r="M63" s="5" t="s">
        <v>144</v>
      </c>
      <c r="N63" s="4">
        <v>7</v>
      </c>
      <c r="O63" s="4">
        <v>227</v>
      </c>
      <c r="Q63" s="6"/>
      <c r="R63" s="35"/>
    </row>
    <row r="64" spans="3:20" ht="11.4" x14ac:dyDescent="0.3">
      <c r="C64" s="4"/>
      <c r="M64" s="5" t="s">
        <v>35</v>
      </c>
      <c r="N64" s="4">
        <v>8</v>
      </c>
      <c r="O64" s="4">
        <v>74</v>
      </c>
      <c r="Q64" s="6"/>
      <c r="R64" s="35"/>
    </row>
    <row r="65" spans="3:15" ht="11.4" x14ac:dyDescent="0.3">
      <c r="C65" s="4"/>
      <c r="M65" s="5" t="s">
        <v>38</v>
      </c>
      <c r="N65" s="4">
        <v>6</v>
      </c>
      <c r="O65" s="4">
        <v>127</v>
      </c>
    </row>
    <row r="66" spans="3:15" ht="11.4" x14ac:dyDescent="0.3">
      <c r="C66" s="4"/>
      <c r="M66" s="5" t="s">
        <v>18</v>
      </c>
      <c r="N66" s="4">
        <v>16</v>
      </c>
      <c r="O66" s="4">
        <v>232</v>
      </c>
    </row>
    <row r="67" spans="3:15" ht="11.4" x14ac:dyDescent="0.3">
      <c r="C67" s="4"/>
    </row>
    <row r="68" spans="3:15" thickBot="1" x14ac:dyDescent="0.35">
      <c r="C68" s="4"/>
      <c r="N68" s="40" t="s">
        <v>182</v>
      </c>
      <c r="O68" s="40">
        <v>132</v>
      </c>
    </row>
    <row r="69" spans="3:15" thickTop="1" x14ac:dyDescent="0.3">
      <c r="C69" s="4"/>
    </row>
    <row r="70" spans="3:15" ht="11.4" x14ac:dyDescent="0.3">
      <c r="C70" s="4"/>
    </row>
    <row r="71" spans="3:15" ht="11.4" x14ac:dyDescent="0.3">
      <c r="C71" s="4"/>
    </row>
    <row r="72" spans="3:15" ht="11.4" x14ac:dyDescent="0.3">
      <c r="C72" s="4"/>
    </row>
    <row r="73" spans="3:15" ht="11.4" x14ac:dyDescent="0.3">
      <c r="C73" s="4"/>
    </row>
    <row r="74" spans="3:15" ht="11.4" x14ac:dyDescent="0.3">
      <c r="C74" s="4"/>
    </row>
    <row r="75" spans="3:15" ht="11.4" x14ac:dyDescent="0.3">
      <c r="C75" s="4"/>
    </row>
    <row r="76" spans="3:15" ht="11.4" x14ac:dyDescent="0.3">
      <c r="C76" s="4"/>
    </row>
    <row r="77" spans="3:15" ht="11.4" x14ac:dyDescent="0.3">
      <c r="C77" s="4"/>
    </row>
    <row r="78" spans="3:15" ht="11.4" x14ac:dyDescent="0.3">
      <c r="C78" s="4"/>
    </row>
    <row r="79" spans="3:15" ht="11.4" x14ac:dyDescent="0.3">
      <c r="C79" s="4"/>
    </row>
    <row r="80" spans="3:15" ht="11.4" x14ac:dyDescent="0.3">
      <c r="C80" s="4"/>
    </row>
    <row r="81" spans="3:3" ht="11.4" x14ac:dyDescent="0.3">
      <c r="C81" s="4"/>
    </row>
    <row r="82" spans="3:3" ht="11.4" x14ac:dyDescent="0.3">
      <c r="C82" s="4"/>
    </row>
    <row r="83" spans="3:3" ht="11.4" x14ac:dyDescent="0.3">
      <c r="C83" s="4"/>
    </row>
    <row r="84" spans="3:3" ht="11.4" x14ac:dyDescent="0.3">
      <c r="C84" s="4"/>
    </row>
    <row r="85" spans="3:3" ht="11.4" x14ac:dyDescent="0.3">
      <c r="C85" s="4"/>
    </row>
    <row r="86" spans="3:3" ht="11.4" x14ac:dyDescent="0.3">
      <c r="C86" s="4"/>
    </row>
    <row r="87" spans="3:3" ht="11.4" x14ac:dyDescent="0.3">
      <c r="C87" s="4"/>
    </row>
    <row r="88" spans="3:3" ht="11.4" x14ac:dyDescent="0.3">
      <c r="C88" s="4"/>
    </row>
    <row r="89" spans="3:3" ht="11.4" x14ac:dyDescent="0.3">
      <c r="C89" s="4"/>
    </row>
    <row r="90" spans="3:3" ht="11.4" x14ac:dyDescent="0.3">
      <c r="C90" s="4"/>
    </row>
    <row r="91" spans="3:3" ht="11.4" x14ac:dyDescent="0.3">
      <c r="C91" s="4"/>
    </row>
    <row r="92" spans="3:3" ht="11.4" x14ac:dyDescent="0.3">
      <c r="C92" s="4"/>
    </row>
    <row r="93" spans="3:3" ht="11.4" x14ac:dyDescent="0.3">
      <c r="C93" s="4"/>
    </row>
    <row r="94" spans="3:3" ht="11.4" x14ac:dyDescent="0.3">
      <c r="C94" s="4"/>
    </row>
    <row r="95" spans="3:3" ht="11.4" x14ac:dyDescent="0.3">
      <c r="C95" s="4"/>
    </row>
    <row r="96" spans="3:3" ht="11.4" x14ac:dyDescent="0.3">
      <c r="C96" s="4"/>
    </row>
    <row r="97" spans="3:3" ht="11.4" x14ac:dyDescent="0.3">
      <c r="C97" s="4"/>
    </row>
    <row r="98" spans="3:3" ht="11.4" x14ac:dyDescent="0.3">
      <c r="C98" s="4"/>
    </row>
    <row r="99" spans="3:3" ht="11.4" x14ac:dyDescent="0.3">
      <c r="C99" s="4"/>
    </row>
    <row r="100" spans="3:3" ht="11.4" x14ac:dyDescent="0.3">
      <c r="C100" s="4"/>
    </row>
    <row r="101" spans="3:3" ht="11.4" x14ac:dyDescent="0.3">
      <c r="C101" s="4"/>
    </row>
    <row r="102" spans="3:3" ht="11.4" x14ac:dyDescent="0.3">
      <c r="C102" s="4"/>
    </row>
    <row r="103" spans="3:3" ht="11.4" x14ac:dyDescent="0.3">
      <c r="C103" s="4"/>
    </row>
    <row r="104" spans="3:3" ht="11.4" x14ac:dyDescent="0.3">
      <c r="C104" s="4"/>
    </row>
    <row r="105" spans="3:3" ht="11.4" x14ac:dyDescent="0.3">
      <c r="C105" s="4"/>
    </row>
    <row r="106" spans="3:3" ht="11.4" x14ac:dyDescent="0.3">
      <c r="C106" s="4"/>
    </row>
    <row r="107" spans="3:3" ht="11.4" x14ac:dyDescent="0.3">
      <c r="C107" s="4"/>
    </row>
    <row r="108" spans="3:3" ht="11.4" x14ac:dyDescent="0.3">
      <c r="C108" s="4"/>
    </row>
    <row r="109" spans="3:3" ht="11.4" x14ac:dyDescent="0.3">
      <c r="C109" s="4"/>
    </row>
    <row r="110" spans="3:3" ht="11.4" x14ac:dyDescent="0.3">
      <c r="C110" s="4"/>
    </row>
    <row r="111" spans="3:3" ht="11.4" x14ac:dyDescent="0.3">
      <c r="C111" s="4"/>
    </row>
    <row r="112" spans="3:3" ht="11.4" x14ac:dyDescent="0.3">
      <c r="C112" s="4"/>
    </row>
    <row r="113" spans="3:3" ht="11.4" x14ac:dyDescent="0.3">
      <c r="C113" s="4"/>
    </row>
    <row r="114" spans="3:3" ht="11.4" x14ac:dyDescent="0.3">
      <c r="C114" s="4"/>
    </row>
    <row r="115" spans="3:3" ht="11.4" x14ac:dyDescent="0.3">
      <c r="C115" s="4"/>
    </row>
    <row r="116" spans="3:3" ht="11.4" x14ac:dyDescent="0.3">
      <c r="C116" s="4"/>
    </row>
    <row r="117" spans="3:3" ht="11.4" x14ac:dyDescent="0.3">
      <c r="C117" s="4"/>
    </row>
    <row r="118" spans="3:3" ht="11.4" x14ac:dyDescent="0.3">
      <c r="C118" s="4"/>
    </row>
    <row r="119" spans="3:3" ht="11.4" x14ac:dyDescent="0.3">
      <c r="C119" s="4"/>
    </row>
    <row r="120" spans="3:3" ht="11.4" x14ac:dyDescent="0.3">
      <c r="C120" s="4"/>
    </row>
    <row r="121" spans="3:3" ht="11.4" x14ac:dyDescent="0.3">
      <c r="C121" s="4"/>
    </row>
    <row r="122" spans="3:3" ht="11.4" x14ac:dyDescent="0.3">
      <c r="C122" s="4"/>
    </row>
    <row r="123" spans="3:3" ht="11.4" x14ac:dyDescent="0.3">
      <c r="C123" s="4"/>
    </row>
    <row r="124" spans="3:3" ht="11.4" x14ac:dyDescent="0.3">
      <c r="C124" s="4"/>
    </row>
    <row r="125" spans="3:3" ht="11.4" x14ac:dyDescent="0.3">
      <c r="C125" s="4"/>
    </row>
    <row r="126" spans="3:3" ht="11.4" x14ac:dyDescent="0.3">
      <c r="C126" s="4"/>
    </row>
    <row r="127" spans="3:3" ht="11.4" x14ac:dyDescent="0.3">
      <c r="C127" s="4"/>
    </row>
    <row r="128" spans="3:3" ht="11.4" x14ac:dyDescent="0.3">
      <c r="C128" s="4"/>
    </row>
    <row r="129" spans="3:3" ht="11.4" x14ac:dyDescent="0.3">
      <c r="C129" s="4"/>
    </row>
    <row r="130" spans="3:3" ht="11.4" x14ac:dyDescent="0.3">
      <c r="C130" s="4"/>
    </row>
    <row r="131" spans="3:3" ht="11.4" x14ac:dyDescent="0.3">
      <c r="C131" s="4"/>
    </row>
    <row r="132" spans="3:3" ht="11.4" x14ac:dyDescent="0.3">
      <c r="C132" s="4"/>
    </row>
    <row r="133" spans="3:3" ht="11.4" x14ac:dyDescent="0.3">
      <c r="C133" s="4"/>
    </row>
    <row r="134" spans="3:3" ht="11.4" x14ac:dyDescent="0.3">
      <c r="C134" s="4"/>
    </row>
    <row r="135" spans="3:3" ht="11.4" x14ac:dyDescent="0.3">
      <c r="C135" s="4"/>
    </row>
    <row r="136" spans="3:3" ht="11.4" x14ac:dyDescent="0.3">
      <c r="C136" s="4"/>
    </row>
    <row r="137" spans="3:3" ht="11.4" x14ac:dyDescent="0.3">
      <c r="C137" s="4"/>
    </row>
    <row r="138" spans="3:3" ht="11.4" x14ac:dyDescent="0.3">
      <c r="C138" s="4"/>
    </row>
    <row r="139" spans="3:3" ht="11.4" x14ac:dyDescent="0.3">
      <c r="C139" s="4"/>
    </row>
    <row r="140" spans="3:3" ht="11.4" x14ac:dyDescent="0.3">
      <c r="C140" s="4"/>
    </row>
    <row r="141" spans="3:3" ht="11.4" x14ac:dyDescent="0.3">
      <c r="C141" s="4"/>
    </row>
    <row r="142" spans="3:3" ht="11.4" x14ac:dyDescent="0.3">
      <c r="C142" s="4"/>
    </row>
    <row r="143" spans="3:3" ht="11.4" x14ac:dyDescent="0.3">
      <c r="C143" s="4"/>
    </row>
    <row r="144" spans="3:3" ht="11.4" x14ac:dyDescent="0.3">
      <c r="C144" s="4"/>
    </row>
    <row r="145" spans="3:3" ht="11.4" x14ac:dyDescent="0.3">
      <c r="C145" s="4"/>
    </row>
    <row r="146" spans="3:3" ht="11.4" x14ac:dyDescent="0.3">
      <c r="C146" s="4"/>
    </row>
    <row r="147" spans="3:3" ht="11.4" x14ac:dyDescent="0.3">
      <c r="C147" s="4"/>
    </row>
    <row r="148" spans="3:3" ht="11.4" x14ac:dyDescent="0.3">
      <c r="C148" s="4"/>
    </row>
    <row r="149" spans="3:3" ht="11.4" x14ac:dyDescent="0.3">
      <c r="C149" s="4"/>
    </row>
    <row r="150" spans="3:3" ht="11.4" x14ac:dyDescent="0.3">
      <c r="C150" s="4"/>
    </row>
    <row r="151" spans="3:3" ht="11.4" x14ac:dyDescent="0.3">
      <c r="C151" s="4"/>
    </row>
    <row r="152" spans="3:3" ht="11.4" x14ac:dyDescent="0.3">
      <c r="C152" s="4"/>
    </row>
    <row r="153" spans="3:3" ht="11.4" x14ac:dyDescent="0.3">
      <c r="C153" s="4"/>
    </row>
    <row r="154" spans="3:3" ht="11.4" x14ac:dyDescent="0.3">
      <c r="C154" s="4"/>
    </row>
    <row r="155" spans="3:3" ht="11.4" x14ac:dyDescent="0.3">
      <c r="C155" s="4"/>
    </row>
    <row r="156" spans="3:3" ht="11.4" x14ac:dyDescent="0.3">
      <c r="C156" s="4"/>
    </row>
    <row r="157" spans="3:3" ht="11.4" x14ac:dyDescent="0.3">
      <c r="C157" s="4"/>
    </row>
    <row r="158" spans="3:3" ht="11.4" x14ac:dyDescent="0.3">
      <c r="C158" s="4"/>
    </row>
    <row r="159" spans="3:3" ht="11.4" x14ac:dyDescent="0.3">
      <c r="C159" s="4"/>
    </row>
    <row r="160" spans="3:3" ht="11.4" x14ac:dyDescent="0.3">
      <c r="C160" s="4"/>
    </row>
    <row r="161" spans="3:3" ht="11.4" x14ac:dyDescent="0.3">
      <c r="C161" s="4"/>
    </row>
    <row r="162" spans="3:3" ht="11.4" x14ac:dyDescent="0.3">
      <c r="C162" s="4"/>
    </row>
    <row r="163" spans="3:3" ht="11.4" x14ac:dyDescent="0.3">
      <c r="C163" s="4"/>
    </row>
    <row r="164" spans="3:3" ht="11.4" x14ac:dyDescent="0.3">
      <c r="C164" s="4"/>
    </row>
    <row r="165" spans="3:3" ht="11.4" x14ac:dyDescent="0.3">
      <c r="C165" s="4"/>
    </row>
    <row r="166" spans="3:3" ht="11.4" x14ac:dyDescent="0.3">
      <c r="C166" s="4"/>
    </row>
    <row r="167" spans="3:3" ht="11.4" x14ac:dyDescent="0.3">
      <c r="C167" s="4"/>
    </row>
    <row r="168" spans="3:3" ht="11.4" x14ac:dyDescent="0.3">
      <c r="C168" s="4"/>
    </row>
    <row r="169" spans="3:3" ht="11.4" x14ac:dyDescent="0.3">
      <c r="C169" s="4"/>
    </row>
    <row r="170" spans="3:3" ht="11.4" x14ac:dyDescent="0.3">
      <c r="C170" s="4"/>
    </row>
    <row r="171" spans="3:3" ht="11.4" x14ac:dyDescent="0.3">
      <c r="C171" s="4"/>
    </row>
    <row r="172" spans="3:3" ht="11.4" x14ac:dyDescent="0.3">
      <c r="C172" s="4"/>
    </row>
    <row r="173" spans="3:3" ht="11.4" x14ac:dyDescent="0.3">
      <c r="C173" s="4"/>
    </row>
    <row r="174" spans="3:3" ht="11.4" x14ac:dyDescent="0.3">
      <c r="C174" s="4"/>
    </row>
    <row r="175" spans="3:3" ht="11.4" x14ac:dyDescent="0.3">
      <c r="C175" s="4"/>
    </row>
    <row r="176" spans="3:3" ht="11.4" x14ac:dyDescent="0.3">
      <c r="C176" s="4"/>
    </row>
    <row r="177" spans="3:3" ht="11.4" x14ac:dyDescent="0.3">
      <c r="C177" s="4"/>
    </row>
    <row r="178" spans="3:3" ht="11.4" x14ac:dyDescent="0.3">
      <c r="C178" s="4"/>
    </row>
    <row r="179" spans="3:3" ht="11.4" x14ac:dyDescent="0.3">
      <c r="C179" s="4"/>
    </row>
    <row r="180" spans="3:3" ht="11.4" x14ac:dyDescent="0.3">
      <c r="C180" s="4"/>
    </row>
    <row r="181" spans="3:3" ht="11.4" x14ac:dyDescent="0.3">
      <c r="C181" s="4"/>
    </row>
    <row r="182" spans="3:3" ht="11.4" x14ac:dyDescent="0.3">
      <c r="C182" s="4"/>
    </row>
    <row r="183" spans="3:3" ht="11.4" x14ac:dyDescent="0.3">
      <c r="C183" s="4"/>
    </row>
  </sheetData>
  <mergeCells count="3">
    <mergeCell ref="C1:P1"/>
    <mergeCell ref="P47:Q47"/>
    <mergeCell ref="R47:S47"/>
  </mergeCells>
  <pageMargins left="0.7" right="0.7" top="0.75" bottom="0.75" header="0.3" footer="0.3"/>
  <pageSetup paperSize="9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>
      <selection activeCell="L15" sqref="L1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 PORT  AEROPORT</vt:lpstr>
      <vt:lpstr>TBord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Josiane Estelle WANDJA NANA</dc:creator>
  <cp:lastModifiedBy>Joseph Blaise Dooh Elame</cp:lastModifiedBy>
  <cp:lastPrinted>2019-05-11T11:57:55Z</cp:lastPrinted>
  <dcterms:created xsi:type="dcterms:W3CDTF">2019-04-22T13:14:14Z</dcterms:created>
  <dcterms:modified xsi:type="dcterms:W3CDTF">2019-08-11T10:19:32Z</dcterms:modified>
</cp:coreProperties>
</file>