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tol\Downloads\"/>
    </mc:Choice>
  </mc:AlternateContent>
  <xr:revisionPtr revIDLastSave="0" documentId="13_ncr:1_{3B744BDF-99BC-42EB-8753-56DAE1861122}" xr6:coauthVersionLast="47" xr6:coauthVersionMax="47" xr10:uidLastSave="{00000000-0000-0000-0000-000000000000}"/>
  <bookViews>
    <workbookView xWindow="-120" yWindow="-120" windowWidth="29040" windowHeight="15840" xr2:uid="{1E54FB9B-B4F2-4CB6-95F1-14B71F02D7F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A5" i="1" l="1"/>
  <c r="CA6" i="1"/>
  <c r="CA7" i="1"/>
  <c r="CA8" i="1"/>
  <c r="CB8" i="1" s="1"/>
  <c r="CA9" i="1"/>
  <c r="CA4" i="1"/>
  <c r="CB4" i="1" s="1"/>
  <c r="CC9" i="1"/>
  <c r="BZ9" i="1"/>
  <c r="BW9" i="1"/>
  <c r="BV9" i="1"/>
  <c r="BU9" i="1"/>
  <c r="CE9" i="1" s="1"/>
  <c r="BT9" i="1"/>
  <c r="BS9" i="1"/>
  <c r="BR9" i="1"/>
  <c r="BX9" i="1" s="1"/>
  <c r="BP9" i="1"/>
  <c r="BL9" i="1"/>
  <c r="BE9" i="1"/>
  <c r="BD9" i="1"/>
  <c r="BC9" i="1"/>
  <c r="BB9" i="1"/>
  <c r="AZ9" i="1"/>
  <c r="AU9" i="1"/>
  <c r="AK9" i="1"/>
  <c r="AN9" i="1" s="1"/>
  <c r="AD9" i="1"/>
  <c r="T9" i="1"/>
  <c r="W9" i="1" s="1"/>
  <c r="S9" i="1"/>
  <c r="X9" i="1" s="1"/>
  <c r="Y9" i="1" s="1"/>
  <c r="Z9" i="1" s="1"/>
  <c r="K9" i="1"/>
  <c r="CC8" i="1"/>
  <c r="BZ8" i="1"/>
  <c r="BW8" i="1"/>
  <c r="BV8" i="1"/>
  <c r="BU8" i="1"/>
  <c r="BT8" i="1"/>
  <c r="CE8" i="1" s="1"/>
  <c r="BS8" i="1"/>
  <c r="BR8" i="1"/>
  <c r="BX8" i="1" s="1"/>
  <c r="BP8" i="1"/>
  <c r="BL8" i="1"/>
  <c r="BF8" i="1"/>
  <c r="BE8" i="1"/>
  <c r="BD8" i="1"/>
  <c r="BC8" i="1"/>
  <c r="BB8" i="1"/>
  <c r="AZ8" i="1"/>
  <c r="AO8" i="1"/>
  <c r="AN8" i="1"/>
  <c r="AK8" i="1"/>
  <c r="AD8" i="1"/>
  <c r="W8" i="1"/>
  <c r="V8" i="1"/>
  <c r="T8" i="1"/>
  <c r="S8" i="1"/>
  <c r="X8" i="1" s="1"/>
  <c r="Y8" i="1" s="1"/>
  <c r="Z8" i="1" s="1"/>
  <c r="K8" i="1"/>
  <c r="AU8" i="1" s="1"/>
  <c r="AV8" i="1" s="1"/>
  <c r="AW8" i="1" s="1"/>
  <c r="CC7" i="1"/>
  <c r="BZ7" i="1"/>
  <c r="BW7" i="1"/>
  <c r="CE7" i="1" s="1"/>
  <c r="BV7" i="1"/>
  <c r="BU7" i="1"/>
  <c r="BT7" i="1"/>
  <c r="BS7" i="1"/>
  <c r="CB7" i="1" s="1"/>
  <c r="CF7" i="1" s="1"/>
  <c r="BR7" i="1"/>
  <c r="BX7" i="1" s="1"/>
  <c r="BP7" i="1"/>
  <c r="BL7" i="1"/>
  <c r="BF7" i="1"/>
  <c r="BE7" i="1"/>
  <c r="BD7" i="1"/>
  <c r="BC7" i="1"/>
  <c r="BB7" i="1"/>
  <c r="AZ7" i="1"/>
  <c r="AN7" i="1"/>
  <c r="AK7" i="1"/>
  <c r="S7" i="1"/>
  <c r="X7" i="1" s="1"/>
  <c r="K7" i="1"/>
  <c r="AU7" i="1" s="1"/>
  <c r="AV7" i="1" s="1"/>
  <c r="AW7" i="1" s="1"/>
  <c r="CC6" i="1"/>
  <c r="BZ6" i="1"/>
  <c r="BW6" i="1"/>
  <c r="CE6" i="1" s="1"/>
  <c r="BV6" i="1"/>
  <c r="BU6" i="1"/>
  <c r="BT6" i="1"/>
  <c r="BS6" i="1"/>
  <c r="CB6" i="1" s="1"/>
  <c r="CF6" i="1" s="1"/>
  <c r="BR6" i="1"/>
  <c r="BX6" i="1" s="1"/>
  <c r="BP6" i="1"/>
  <c r="BL6" i="1"/>
  <c r="BE6" i="1"/>
  <c r="BD6" i="1"/>
  <c r="BC6" i="1"/>
  <c r="BB6" i="1"/>
  <c r="AZ6" i="1"/>
  <c r="AQ6" i="1"/>
  <c r="AO6" i="1"/>
  <c r="AN6" i="1"/>
  <c r="AK6" i="1"/>
  <c r="AD6" i="1"/>
  <c r="W6" i="1"/>
  <c r="T6" i="1"/>
  <c r="S6" i="1"/>
  <c r="X6" i="1" s="1"/>
  <c r="Y6" i="1" s="1"/>
  <c r="Z6" i="1" s="1"/>
  <c r="K6" i="1"/>
  <c r="BF6" i="1" s="1"/>
  <c r="CC5" i="1"/>
  <c r="BZ5" i="1"/>
  <c r="BW5" i="1"/>
  <c r="BV5" i="1"/>
  <c r="BU5" i="1"/>
  <c r="BT5" i="1"/>
  <c r="CE5" i="1" s="1"/>
  <c r="BS5" i="1"/>
  <c r="BR5" i="1"/>
  <c r="BX5" i="1" s="1"/>
  <c r="BP5" i="1"/>
  <c r="BL5" i="1"/>
  <c r="BE5" i="1"/>
  <c r="BD5" i="1"/>
  <c r="BC5" i="1"/>
  <c r="BB5" i="1"/>
  <c r="AZ5" i="1"/>
  <c r="AN5" i="1"/>
  <c r="AK5" i="1"/>
  <c r="K5" i="1"/>
  <c r="BF5" i="1" s="1"/>
  <c r="CC4" i="1"/>
  <c r="BZ4" i="1"/>
  <c r="BW4" i="1"/>
  <c r="BV4" i="1"/>
  <c r="BU4" i="1"/>
  <c r="BT4" i="1"/>
  <c r="CE4" i="1" s="1"/>
  <c r="BS4" i="1"/>
  <c r="BR4" i="1"/>
  <c r="BX4" i="1" s="1"/>
  <c r="BP4" i="1"/>
  <c r="BL4" i="1"/>
  <c r="BF4" i="1"/>
  <c r="BE4" i="1"/>
  <c r="BD4" i="1"/>
  <c r="BC4" i="1"/>
  <c r="BB4" i="1"/>
  <c r="AZ4" i="1"/>
  <c r="AO4" i="1"/>
  <c r="AN4" i="1"/>
  <c r="AK4" i="1"/>
  <c r="AD4" i="1"/>
  <c r="W4" i="1"/>
  <c r="V4" i="1"/>
  <c r="T4" i="1"/>
  <c r="S4" i="1"/>
  <c r="X4" i="1" s="1"/>
  <c r="Y4" i="1" s="1"/>
  <c r="Z4" i="1" s="1"/>
  <c r="K4" i="1"/>
  <c r="AU4" i="1" s="1"/>
  <c r="AV4" i="1" s="1"/>
  <c r="AW4" i="1" s="1"/>
  <c r="AV9" i="1" l="1"/>
  <c r="AW9" i="1" s="1"/>
  <c r="CF8" i="1"/>
  <c r="AO9" i="1"/>
  <c r="BF9" i="1"/>
  <c r="CF4" i="1"/>
  <c r="AO5" i="1"/>
  <c r="CB5" i="1"/>
  <c r="CF5" i="1" s="1"/>
  <c r="AO7" i="1"/>
  <c r="V9" i="1"/>
  <c r="V6" i="1"/>
  <c r="AU6" i="1"/>
  <c r="AV6" i="1" s="1"/>
  <c r="AW6" i="1" s="1"/>
  <c r="CB9" i="1"/>
  <c r="CF9" i="1" s="1"/>
  <c r="AA4" i="1"/>
  <c r="AB4" i="1" s="1"/>
  <c r="AA8" i="1"/>
  <c r="AB8" i="1" s="1"/>
  <c r="AA6" i="1" l="1"/>
  <c r="AB6" i="1" s="1"/>
  <c r="AA9" i="1"/>
  <c r="AB9" i="1"/>
</calcChain>
</file>

<file path=xl/sharedStrings.xml><?xml version="1.0" encoding="utf-8"?>
<sst xmlns="http://schemas.openxmlformats.org/spreadsheetml/2006/main" count="144" uniqueCount="72">
  <si>
    <t>REMONTEES MECANIQUES DE GRIMENTZ-ZINAL SA - TABLEAU HEURES SUPPLEMENTAIRES ET SALAIRES - SAISONNIERS RM HIVER 2020/2021</t>
  </si>
  <si>
    <t xml:space="preserve">Indemnisations supplémentaires : </t>
  </si>
  <si>
    <t>délai de carence</t>
  </si>
  <si>
    <t>NOMS</t>
  </si>
  <si>
    <t>Date naissance</t>
  </si>
  <si>
    <t>Département</t>
  </si>
  <si>
    <t>NOV.</t>
  </si>
  <si>
    <t>DEC.</t>
  </si>
  <si>
    <t>JANV.</t>
  </si>
  <si>
    <t>FEVR.</t>
  </si>
  <si>
    <t>MARS</t>
  </si>
  <si>
    <t>AVRIL</t>
  </si>
  <si>
    <t>TOTAL</t>
  </si>
  <si>
    <t>Jours T.</t>
  </si>
  <si>
    <t>SAL. HOR.</t>
  </si>
  <si>
    <t>SAL. BRUT</t>
  </si>
  <si>
    <t>Heures</t>
  </si>
  <si>
    <t>Vacances</t>
  </si>
  <si>
    <t xml:space="preserve">13ème </t>
  </si>
  <si>
    <t xml:space="preserve">25 % du </t>
  </si>
  <si>
    <t>Taux</t>
  </si>
  <si>
    <t>Solde</t>
  </si>
  <si>
    <t>Ind. dameurs</t>
  </si>
  <si>
    <t>Heures RHT</t>
  </si>
  <si>
    <t>Solde déc.</t>
  </si>
  <si>
    <t>Solde janv.</t>
  </si>
  <si>
    <t>Solde févr.</t>
  </si>
  <si>
    <t>Solde mars.</t>
  </si>
  <si>
    <t>Solde avril</t>
  </si>
  <si>
    <t>tarif salaire</t>
  </si>
  <si>
    <t>Montant ind.</t>
  </si>
  <si>
    <t xml:space="preserve">Nbre d'h. </t>
  </si>
  <si>
    <t>Nbre d'h.</t>
  </si>
  <si>
    <t>Salaire</t>
  </si>
  <si>
    <t>total saison</t>
  </si>
  <si>
    <t>Age en 2021</t>
  </si>
  <si>
    <t>Droit</t>
  </si>
  <si>
    <t>ind. Vac</t>
  </si>
  <si>
    <t>Age en 2022</t>
  </si>
  <si>
    <t xml:space="preserve">Droit </t>
  </si>
  <si>
    <t>Total vac</t>
  </si>
  <si>
    <t>HEURES</t>
  </si>
  <si>
    <t>Jours de T.</t>
  </si>
  <si>
    <t>2016</t>
  </si>
  <si>
    <t>à effectuer</t>
  </si>
  <si>
    <t>effectuées</t>
  </si>
  <si>
    <t>supp.</t>
  </si>
  <si>
    <t>à payer</t>
  </si>
  <si>
    <t>à verser</t>
  </si>
  <si>
    <t>sal. horaire</t>
  </si>
  <si>
    <t>Jours</t>
  </si>
  <si>
    <t>d'activité</t>
  </si>
  <si>
    <t>+/-</t>
  </si>
  <si>
    <t>nuit</t>
  </si>
  <si>
    <t>+/- s/RHT</t>
  </si>
  <si>
    <t>horaire</t>
  </si>
  <si>
    <t>nuit 11-12</t>
  </si>
  <si>
    <t>nuit 01-03</t>
  </si>
  <si>
    <t>nuit 04.21</t>
  </si>
  <si>
    <t>M/A 21</t>
  </si>
  <si>
    <t>M/A 01-03</t>
  </si>
  <si>
    <t>M/A 04.22</t>
  </si>
  <si>
    <t>hor. Nov.</t>
  </si>
  <si>
    <t>hor. Déc.</t>
  </si>
  <si>
    <t>hor. Janv.</t>
  </si>
  <si>
    <t>hor. Fév.</t>
  </si>
  <si>
    <t>hor. Mars</t>
  </si>
  <si>
    <t>hor. Avril</t>
  </si>
  <si>
    <t>Salaire hor.</t>
  </si>
  <si>
    <t>aux vac</t>
  </si>
  <si>
    <t xml:space="preserve">  secteur exploitation</t>
  </si>
  <si>
    <t>dameur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</si>
</sst>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_ ;[Red]\-#,##0.00\ "/>
    <numFmt numFmtId="165" formatCode="yyyy"/>
    <numFmt numFmtId="166" formatCode="yy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</fills>
  <borders count="17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/>
      <top style="thin">
        <color theme="5" tint="0.39997558519241921"/>
      </top>
      <bottom style="thin">
        <color theme="5" tint="0.39997558519241921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" fillId="0" borderId="0"/>
  </cellStyleXfs>
  <cellXfs count="87">
    <xf numFmtId="0" fontId="0" fillId="0" borderId="0" xfId="0"/>
    <xf numFmtId="4" fontId="3" fillId="0" borderId="0" xfId="0" applyNumberFormat="1" applyFont="1"/>
    <xf numFmtId="4" fontId="4" fillId="0" borderId="1" xfId="0" applyNumberFormat="1" applyFont="1" applyBorder="1" applyAlignment="1">
      <alignment horizontal="left"/>
    </xf>
    <xf numFmtId="4" fontId="4" fillId="0" borderId="2" xfId="0" applyNumberFormat="1" applyFont="1" applyBorder="1" applyAlignment="1">
      <alignment horizontal="left"/>
    </xf>
    <xf numFmtId="2" fontId="4" fillId="0" borderId="2" xfId="0" applyNumberFormat="1" applyFont="1" applyBorder="1" applyAlignment="1">
      <alignment horizontal="left"/>
    </xf>
    <xf numFmtId="4" fontId="4" fillId="2" borderId="2" xfId="0" applyNumberFormat="1" applyFont="1" applyFill="1" applyBorder="1" applyAlignment="1">
      <alignment horizontal="left"/>
    </xf>
    <xf numFmtId="4" fontId="4" fillId="0" borderId="0" xfId="0" applyNumberFormat="1" applyFont="1" applyAlignment="1">
      <alignment horizontal="left"/>
    </xf>
    <xf numFmtId="0" fontId="3" fillId="0" borderId="0" xfId="0" applyFont="1" applyAlignment="1">
      <alignment horizontal="left"/>
    </xf>
    <xf numFmtId="4" fontId="3" fillId="0" borderId="2" xfId="0" applyNumberFormat="1" applyFont="1" applyBorder="1" applyAlignment="1">
      <alignment horizontal="left"/>
    </xf>
    <xf numFmtId="4" fontId="3" fillId="0" borderId="0" xfId="0" applyNumberFormat="1" applyFont="1" applyAlignment="1">
      <alignment horizontal="left"/>
    </xf>
    <xf numFmtId="4" fontId="4" fillId="0" borderId="3" xfId="0" applyNumberFormat="1" applyFont="1" applyBorder="1" applyAlignment="1">
      <alignment horizontal="left"/>
    </xf>
    <xf numFmtId="4" fontId="4" fillId="2" borderId="0" xfId="0" applyNumberFormat="1" applyFont="1" applyFill="1" applyAlignment="1">
      <alignment horizontal="left"/>
    </xf>
    <xf numFmtId="164" fontId="3" fillId="0" borderId="0" xfId="0" applyNumberFormat="1" applyFont="1"/>
    <xf numFmtId="4" fontId="3" fillId="2" borderId="0" xfId="0" applyNumberFormat="1" applyFont="1" applyFill="1"/>
    <xf numFmtId="165" fontId="5" fillId="0" borderId="4" xfId="0" applyNumberFormat="1" applyFont="1" applyBorder="1"/>
    <xf numFmtId="10" fontId="0" fillId="2" borderId="4" xfId="0" applyNumberFormat="1" applyFill="1" applyBorder="1"/>
    <xf numFmtId="14" fontId="2" fillId="0" borderId="0" xfId="0" applyNumberFormat="1" applyFont="1" applyAlignment="1">
      <alignment horizontal="center"/>
    </xf>
    <xf numFmtId="165" fontId="5" fillId="2" borderId="4" xfId="0" applyNumberFormat="1" applyFont="1" applyFill="1" applyBorder="1"/>
    <xf numFmtId="14" fontId="3" fillId="0" borderId="0" xfId="0" applyNumberFormat="1" applyFont="1" applyAlignment="1">
      <alignment horizontal="center"/>
    </xf>
    <xf numFmtId="4" fontId="4" fillId="0" borderId="0" xfId="0" applyNumberFormat="1" applyFont="1" applyAlignment="1">
      <alignment horizontal="center"/>
    </xf>
    <xf numFmtId="4" fontId="4" fillId="0" borderId="5" xfId="0" applyNumberFormat="1" applyFont="1" applyBorder="1" applyAlignment="1">
      <alignment horizontal="center"/>
    </xf>
    <xf numFmtId="4" fontId="4" fillId="0" borderId="6" xfId="0" applyNumberFormat="1" applyFont="1" applyBorder="1" applyAlignment="1">
      <alignment horizontal="center"/>
    </xf>
    <xf numFmtId="4" fontId="4" fillId="3" borderId="7" xfId="0" applyNumberFormat="1" applyFont="1" applyFill="1" applyBorder="1" applyAlignment="1">
      <alignment horizontal="center"/>
    </xf>
    <xf numFmtId="2" fontId="4" fillId="3" borderId="7" xfId="0" applyNumberFormat="1" applyFont="1" applyFill="1" applyBorder="1" applyAlignment="1">
      <alignment horizontal="center"/>
    </xf>
    <xf numFmtId="4" fontId="4" fillId="3" borderId="8" xfId="0" applyNumberFormat="1" applyFont="1" applyFill="1" applyBorder="1" applyAlignment="1">
      <alignment horizontal="center"/>
    </xf>
    <xf numFmtId="0" fontId="3" fillId="0" borderId="0" xfId="0" applyFont="1"/>
    <xf numFmtId="4" fontId="4" fillId="4" borderId="7" xfId="0" applyNumberFormat="1" applyFont="1" applyFill="1" applyBorder="1" applyAlignment="1">
      <alignment horizontal="center"/>
    </xf>
    <xf numFmtId="4" fontId="4" fillId="4" borderId="8" xfId="0" applyNumberFormat="1" applyFont="1" applyFill="1" applyBorder="1" applyAlignment="1">
      <alignment horizontal="center"/>
    </xf>
    <xf numFmtId="4" fontId="4" fillId="4" borderId="0" xfId="0" applyNumberFormat="1" applyFont="1" applyFill="1" applyAlignment="1">
      <alignment horizontal="center"/>
    </xf>
    <xf numFmtId="4" fontId="4" fillId="5" borderId="7" xfId="0" applyNumberFormat="1" applyFont="1" applyFill="1" applyBorder="1" applyAlignment="1">
      <alignment horizontal="center"/>
    </xf>
    <xf numFmtId="4" fontId="4" fillId="5" borderId="8" xfId="0" applyNumberFormat="1" applyFont="1" applyFill="1" applyBorder="1" applyAlignment="1">
      <alignment horizontal="center"/>
    </xf>
    <xf numFmtId="4" fontId="3" fillId="6" borderId="9" xfId="0" applyNumberFormat="1" applyFont="1" applyFill="1" applyBorder="1" applyAlignment="1">
      <alignment horizontal="center"/>
    </xf>
    <xf numFmtId="164" fontId="4" fillId="6" borderId="9" xfId="0" applyNumberFormat="1" applyFont="1" applyFill="1" applyBorder="1" applyAlignment="1">
      <alignment horizontal="center"/>
    </xf>
    <xf numFmtId="4" fontId="4" fillId="0" borderId="7" xfId="0" applyNumberFormat="1" applyFont="1" applyBorder="1" applyAlignment="1">
      <alignment horizontal="center"/>
    </xf>
    <xf numFmtId="4" fontId="4" fillId="7" borderId="0" xfId="0" applyNumberFormat="1" applyFont="1" applyFill="1" applyAlignment="1">
      <alignment horizontal="center"/>
    </xf>
    <xf numFmtId="4" fontId="4" fillId="6" borderId="0" xfId="0" applyNumberFormat="1" applyFont="1" applyFill="1" applyAlignment="1">
      <alignment horizontal="center"/>
    </xf>
    <xf numFmtId="4" fontId="4" fillId="8" borderId="0" xfId="0" applyNumberFormat="1" applyFont="1" applyFill="1" applyAlignment="1">
      <alignment horizontal="center"/>
    </xf>
    <xf numFmtId="14" fontId="4" fillId="9" borderId="0" xfId="0" applyNumberFormat="1" applyFont="1" applyFill="1" applyAlignment="1">
      <alignment horizontal="center" wrapText="1"/>
    </xf>
    <xf numFmtId="10" fontId="4" fillId="9" borderId="0" xfId="0" applyNumberFormat="1" applyFont="1" applyFill="1" applyAlignment="1">
      <alignment horizontal="center"/>
    </xf>
    <xf numFmtId="4" fontId="4" fillId="9" borderId="0" xfId="0" applyNumberFormat="1" applyFont="1" applyFill="1" applyAlignment="1">
      <alignment horizontal="center"/>
    </xf>
    <xf numFmtId="4" fontId="4" fillId="10" borderId="0" xfId="0" applyNumberFormat="1" applyFont="1" applyFill="1" applyAlignment="1">
      <alignment horizontal="center" wrapText="1"/>
    </xf>
    <xf numFmtId="4" fontId="4" fillId="10" borderId="0" xfId="0" applyNumberFormat="1" applyFont="1" applyFill="1" applyAlignment="1">
      <alignment horizontal="center"/>
    </xf>
    <xf numFmtId="4" fontId="4" fillId="0" borderId="10" xfId="0" applyNumberFormat="1" applyFont="1" applyBorder="1" applyAlignment="1">
      <alignment horizontal="center"/>
    </xf>
    <xf numFmtId="4" fontId="4" fillId="3" borderId="11" xfId="0" applyNumberFormat="1" applyFont="1" applyFill="1" applyBorder="1" applyAlignment="1">
      <alignment horizontal="center"/>
    </xf>
    <xf numFmtId="2" fontId="4" fillId="3" borderId="11" xfId="0" applyNumberFormat="1" applyFont="1" applyFill="1" applyBorder="1" applyAlignment="1">
      <alignment horizontal="center"/>
    </xf>
    <xf numFmtId="4" fontId="4" fillId="3" borderId="12" xfId="0" applyNumberFormat="1" applyFont="1" applyFill="1" applyBorder="1" applyAlignment="1">
      <alignment horizontal="center"/>
    </xf>
    <xf numFmtId="4" fontId="4" fillId="4" borderId="11" xfId="0" applyNumberFormat="1" applyFont="1" applyFill="1" applyBorder="1" applyAlignment="1">
      <alignment horizontal="center"/>
    </xf>
    <xf numFmtId="4" fontId="4" fillId="4" borderId="12" xfId="0" applyNumberFormat="1" applyFont="1" applyFill="1" applyBorder="1" applyAlignment="1">
      <alignment horizontal="center"/>
    </xf>
    <xf numFmtId="4" fontId="4" fillId="4" borderId="11" xfId="0" quotePrefix="1" applyNumberFormat="1" applyFont="1" applyFill="1" applyBorder="1" applyAlignment="1">
      <alignment horizontal="center"/>
    </xf>
    <xf numFmtId="4" fontId="4" fillId="5" borderId="11" xfId="0" applyNumberFormat="1" applyFont="1" applyFill="1" applyBorder="1" applyAlignment="1">
      <alignment horizontal="center"/>
    </xf>
    <xf numFmtId="4" fontId="4" fillId="5" borderId="12" xfId="0" applyNumberFormat="1" applyFont="1" applyFill="1" applyBorder="1" applyAlignment="1">
      <alignment horizontal="center"/>
    </xf>
    <xf numFmtId="164" fontId="4" fillId="6" borderId="9" xfId="0" quotePrefix="1" applyNumberFormat="1" applyFont="1" applyFill="1" applyBorder="1" applyAlignment="1">
      <alignment horizontal="center"/>
    </xf>
    <xf numFmtId="4" fontId="4" fillId="0" borderId="11" xfId="0" quotePrefix="1" applyNumberFormat="1" applyFont="1" applyBorder="1" applyAlignment="1">
      <alignment horizontal="center"/>
    </xf>
    <xf numFmtId="4" fontId="4" fillId="7" borderId="0" xfId="0" quotePrefix="1" applyNumberFormat="1" applyFont="1" applyFill="1" applyAlignment="1">
      <alignment horizontal="center"/>
    </xf>
    <xf numFmtId="4" fontId="4" fillId="0" borderId="0" xfId="0" quotePrefix="1" applyNumberFormat="1" applyFont="1" applyAlignment="1">
      <alignment horizontal="center"/>
    </xf>
    <xf numFmtId="1" fontId="4" fillId="9" borderId="0" xfId="0" applyNumberFormat="1" applyFont="1" applyFill="1" applyAlignment="1">
      <alignment horizontal="center"/>
    </xf>
    <xf numFmtId="1" fontId="4" fillId="10" borderId="0" xfId="0" applyNumberFormat="1" applyFont="1" applyFill="1" applyAlignment="1">
      <alignment horizontal="center"/>
    </xf>
    <xf numFmtId="0" fontId="1" fillId="0" borderId="9" xfId="2" applyBorder="1" applyProtection="1">
      <protection locked="0"/>
    </xf>
    <xf numFmtId="0" fontId="1" fillId="0" borderId="9" xfId="2" applyBorder="1"/>
    <xf numFmtId="14" fontId="1" fillId="0" borderId="9" xfId="2" applyNumberFormat="1" applyBorder="1"/>
    <xf numFmtId="2" fontId="3" fillId="3" borderId="13" xfId="0" applyNumberFormat="1" applyFont="1" applyFill="1" applyBorder="1"/>
    <xf numFmtId="2" fontId="3" fillId="3" borderId="9" xfId="0" applyNumberFormat="1" applyFont="1" applyFill="1" applyBorder="1"/>
    <xf numFmtId="4" fontId="4" fillId="3" borderId="13" xfId="0" applyNumberFormat="1" applyFont="1" applyFill="1" applyBorder="1"/>
    <xf numFmtId="3" fontId="3" fillId="4" borderId="14" xfId="0" applyNumberFormat="1" applyFont="1" applyFill="1" applyBorder="1"/>
    <xf numFmtId="4" fontId="3" fillId="4" borderId="0" xfId="0" applyNumberFormat="1" applyFont="1" applyFill="1"/>
    <xf numFmtId="3" fontId="3" fillId="4" borderId="15" xfId="0" applyNumberFormat="1" applyFont="1" applyFill="1" applyBorder="1"/>
    <xf numFmtId="4" fontId="3" fillId="4" borderId="14" xfId="0" applyNumberFormat="1" applyFont="1" applyFill="1" applyBorder="1"/>
    <xf numFmtId="4" fontId="3" fillId="4" borderId="16" xfId="0" applyNumberFormat="1" applyFont="1" applyFill="1" applyBorder="1"/>
    <xf numFmtId="4" fontId="4" fillId="4" borderId="0" xfId="0" applyNumberFormat="1" applyFont="1" applyFill="1"/>
    <xf numFmtId="3" fontId="3" fillId="5" borderId="9" xfId="0" applyNumberFormat="1" applyFont="1" applyFill="1" applyBorder="1"/>
    <xf numFmtId="3" fontId="4" fillId="5" borderId="9" xfId="0" applyNumberFormat="1" applyFont="1" applyFill="1" applyBorder="1"/>
    <xf numFmtId="3" fontId="3" fillId="0" borderId="0" xfId="0" applyNumberFormat="1" applyFont="1"/>
    <xf numFmtId="9" fontId="3" fillId="6" borderId="9" xfId="0" applyNumberFormat="1" applyFont="1" applyFill="1" applyBorder="1"/>
    <xf numFmtId="4" fontId="3" fillId="6" borderId="9" xfId="0" applyNumberFormat="1" applyFont="1" applyFill="1" applyBorder="1"/>
    <xf numFmtId="164" fontId="4" fillId="6" borderId="9" xfId="0" applyNumberFormat="1" applyFont="1" applyFill="1" applyBorder="1"/>
    <xf numFmtId="4" fontId="4" fillId="0" borderId="0" xfId="0" applyNumberFormat="1" applyFont="1"/>
    <xf numFmtId="4" fontId="3" fillId="0" borderId="9" xfId="0" applyNumberFormat="1" applyFont="1" applyBorder="1"/>
    <xf numFmtId="4" fontId="3" fillId="7" borderId="0" xfId="0" applyNumberFormat="1" applyFont="1" applyFill="1"/>
    <xf numFmtId="166" fontId="3" fillId="0" borderId="0" xfId="0" applyNumberFormat="1" applyFont="1"/>
    <xf numFmtId="10" fontId="3" fillId="0" borderId="0" xfId="1" applyNumberFormat="1" applyFont="1" applyBorder="1" applyAlignment="1">
      <alignment horizontal="right"/>
    </xf>
    <xf numFmtId="4" fontId="3" fillId="0" borderId="0" xfId="1" applyNumberFormat="1" applyFont="1"/>
    <xf numFmtId="10" fontId="3" fillId="0" borderId="0" xfId="1" applyNumberFormat="1" applyFont="1"/>
    <xf numFmtId="4" fontId="3" fillId="0" borderId="0" xfId="1" applyNumberFormat="1" applyFont="1" applyFill="1"/>
    <xf numFmtId="4" fontId="3" fillId="10" borderId="0" xfId="1" applyNumberFormat="1" applyFont="1" applyFill="1"/>
    <xf numFmtId="3" fontId="3" fillId="5" borderId="11" xfId="0" applyNumberFormat="1" applyFont="1" applyFill="1" applyBorder="1"/>
    <xf numFmtId="2" fontId="4" fillId="0" borderId="0" xfId="0" applyNumberFormat="1" applyFont="1"/>
    <xf numFmtId="4" fontId="3" fillId="0" borderId="12" xfId="0" applyNumberFormat="1" applyFont="1" applyBorder="1"/>
  </cellXfs>
  <cellStyles count="3">
    <cellStyle name="Normal" xfId="0" builtinId="0"/>
    <cellStyle name="Normal 3" xfId="2" xr:uid="{9F903939-B282-4CFD-8FCE-D7846A01E3FA}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97F38A-7815-498C-A52E-A7D66379002D}">
  <dimension ref="A1:CF9"/>
  <sheetViews>
    <sheetView tabSelected="1" topLeftCell="BK1" workbookViewId="0">
      <selection activeCell="BQ25" sqref="BQ25"/>
    </sheetView>
  </sheetViews>
  <sheetFormatPr baseColWidth="10" defaultRowHeight="15" x14ac:dyDescent="0.25"/>
  <cols>
    <col min="13" max="84" width="9.5703125" customWidth="1"/>
  </cols>
  <sheetData>
    <row r="1" spans="1:84" ht="16.5" thickTop="1" thickBot="1" x14ac:dyDescent="0.3">
      <c r="A1" s="1"/>
      <c r="B1" s="2" t="s">
        <v>0</v>
      </c>
      <c r="C1" s="3"/>
      <c r="D1" s="3"/>
      <c r="E1" s="3"/>
      <c r="F1" s="3"/>
      <c r="G1" s="3"/>
      <c r="H1" s="3"/>
      <c r="I1" s="4"/>
      <c r="J1" s="5"/>
      <c r="K1" s="6"/>
      <c r="L1" s="7"/>
      <c r="M1" s="8"/>
      <c r="N1" s="8"/>
      <c r="O1" s="8"/>
      <c r="P1" s="8"/>
      <c r="Q1" s="8"/>
      <c r="R1" s="8"/>
      <c r="S1" s="8"/>
      <c r="T1" s="8"/>
      <c r="U1" s="8"/>
      <c r="V1" s="8"/>
      <c r="W1" s="9"/>
      <c r="X1" s="9"/>
      <c r="Y1" s="9"/>
      <c r="Z1" s="6"/>
      <c r="AA1" s="9"/>
      <c r="AB1" s="9"/>
      <c r="AC1" s="9"/>
      <c r="AD1" s="9"/>
      <c r="AE1" s="10"/>
      <c r="AF1" s="6"/>
      <c r="AG1" s="6"/>
      <c r="AH1" s="6"/>
      <c r="AI1" s="6"/>
      <c r="AJ1" s="11"/>
      <c r="AK1" s="6"/>
      <c r="AL1" s="6"/>
      <c r="AM1" s="1"/>
      <c r="AN1" s="1"/>
      <c r="AO1" s="12"/>
      <c r="AP1" s="1"/>
      <c r="AQ1" s="9"/>
      <c r="AR1" s="9"/>
      <c r="AS1" s="9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2"/>
      <c r="BG1" s="1"/>
      <c r="BH1" s="13"/>
      <c r="BI1" s="1" t="s">
        <v>1</v>
      </c>
      <c r="BJ1" s="1"/>
      <c r="BK1" s="1"/>
      <c r="BL1" s="1"/>
      <c r="BM1" s="13" t="s">
        <v>2</v>
      </c>
      <c r="BN1" s="13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4">
        <v>44561</v>
      </c>
      <c r="CA1" s="15"/>
      <c r="CB1" s="16"/>
      <c r="CC1" s="14">
        <v>44926</v>
      </c>
      <c r="CD1" s="17"/>
      <c r="CE1" s="18"/>
      <c r="CF1" s="18"/>
    </row>
    <row r="2" spans="1:84" ht="15.75" thickTop="1" x14ac:dyDescent="0.25">
      <c r="A2" s="19"/>
      <c r="B2" s="20" t="s">
        <v>3</v>
      </c>
      <c r="C2" s="21" t="s">
        <v>4</v>
      </c>
      <c r="D2" s="21" t="s">
        <v>5</v>
      </c>
      <c r="E2" s="22" t="s">
        <v>6</v>
      </c>
      <c r="F2" s="22" t="s">
        <v>7</v>
      </c>
      <c r="G2" s="22" t="s">
        <v>8</v>
      </c>
      <c r="H2" s="22" t="s">
        <v>9</v>
      </c>
      <c r="I2" s="23" t="s">
        <v>10</v>
      </c>
      <c r="J2" s="22" t="s">
        <v>11</v>
      </c>
      <c r="K2" s="24" t="s">
        <v>12</v>
      </c>
      <c r="L2" s="25"/>
      <c r="M2" s="26" t="s">
        <v>13</v>
      </c>
      <c r="N2" s="26" t="s">
        <v>13</v>
      </c>
      <c r="O2" s="26" t="s">
        <v>13</v>
      </c>
      <c r="P2" s="26" t="s">
        <v>13</v>
      </c>
      <c r="Q2" s="26" t="s">
        <v>13</v>
      </c>
      <c r="R2" s="27" t="s">
        <v>13</v>
      </c>
      <c r="S2" s="27" t="s">
        <v>12</v>
      </c>
      <c r="T2" s="26" t="s">
        <v>12</v>
      </c>
      <c r="U2" s="26" t="s">
        <v>14</v>
      </c>
      <c r="V2" s="26" t="s">
        <v>15</v>
      </c>
      <c r="W2" s="28" t="s">
        <v>16</v>
      </c>
      <c r="X2" s="28" t="s">
        <v>16</v>
      </c>
      <c r="Y2" s="28" t="s">
        <v>16</v>
      </c>
      <c r="Z2" s="28" t="s">
        <v>16</v>
      </c>
      <c r="AA2" s="28" t="s">
        <v>17</v>
      </c>
      <c r="AB2" s="28" t="s">
        <v>18</v>
      </c>
      <c r="AC2" s="28"/>
      <c r="AD2" s="28" t="s">
        <v>19</v>
      </c>
      <c r="AE2" s="29" t="s">
        <v>13</v>
      </c>
      <c r="AF2" s="29" t="s">
        <v>13</v>
      </c>
      <c r="AG2" s="29" t="s">
        <v>13</v>
      </c>
      <c r="AH2" s="29" t="s">
        <v>13</v>
      </c>
      <c r="AI2" s="29" t="s">
        <v>13</v>
      </c>
      <c r="AJ2" s="30" t="s">
        <v>13</v>
      </c>
      <c r="AK2" s="29" t="s">
        <v>12</v>
      </c>
      <c r="AL2" s="19"/>
      <c r="AM2" s="31" t="s">
        <v>20</v>
      </c>
      <c r="AN2" s="31" t="s">
        <v>16</v>
      </c>
      <c r="AO2" s="32" t="s">
        <v>21</v>
      </c>
      <c r="AP2" s="19"/>
      <c r="AQ2" s="33" t="s">
        <v>22</v>
      </c>
      <c r="AR2" s="34" t="s">
        <v>23</v>
      </c>
      <c r="AS2" s="34" t="s">
        <v>23</v>
      </c>
      <c r="AT2" s="19"/>
      <c r="AU2" s="19" t="s">
        <v>16</v>
      </c>
      <c r="AV2" s="19" t="s">
        <v>16</v>
      </c>
      <c r="AW2" s="19" t="s">
        <v>16</v>
      </c>
      <c r="AX2" s="19"/>
      <c r="AY2" s="19"/>
      <c r="AZ2" s="19" t="s">
        <v>24</v>
      </c>
      <c r="BA2" s="19"/>
      <c r="BB2" s="19" t="s">
        <v>25</v>
      </c>
      <c r="BC2" s="19" t="s">
        <v>26</v>
      </c>
      <c r="BD2" s="19" t="s">
        <v>27</v>
      </c>
      <c r="BE2" s="19" t="s">
        <v>28</v>
      </c>
      <c r="BF2" s="32" t="s">
        <v>21</v>
      </c>
      <c r="BG2" s="19"/>
      <c r="BH2" s="19" t="s">
        <v>29</v>
      </c>
      <c r="BI2" s="35" t="s">
        <v>30</v>
      </c>
      <c r="BJ2" s="35" t="s">
        <v>30</v>
      </c>
      <c r="BK2" s="35" t="s">
        <v>31</v>
      </c>
      <c r="BL2" s="35" t="s">
        <v>30</v>
      </c>
      <c r="BM2" s="36" t="s">
        <v>30</v>
      </c>
      <c r="BN2" s="36" t="s">
        <v>30</v>
      </c>
      <c r="BO2" s="36" t="s">
        <v>32</v>
      </c>
      <c r="BP2" s="36" t="s">
        <v>30</v>
      </c>
      <c r="BQ2" s="19"/>
      <c r="BR2" s="19" t="s">
        <v>33</v>
      </c>
      <c r="BS2" s="19" t="s">
        <v>33</v>
      </c>
      <c r="BT2" s="19" t="s">
        <v>33</v>
      </c>
      <c r="BU2" s="19" t="s">
        <v>33</v>
      </c>
      <c r="BV2" s="19" t="s">
        <v>33</v>
      </c>
      <c r="BW2" s="19" t="s">
        <v>33</v>
      </c>
      <c r="BX2" s="19" t="s">
        <v>34</v>
      </c>
      <c r="BY2" s="19"/>
      <c r="BZ2" s="37" t="s">
        <v>35</v>
      </c>
      <c r="CA2" s="38" t="s">
        <v>36</v>
      </c>
      <c r="CB2" s="39" t="s">
        <v>37</v>
      </c>
      <c r="CC2" s="40" t="s">
        <v>38</v>
      </c>
      <c r="CD2" s="41" t="s">
        <v>39</v>
      </c>
      <c r="CE2" s="41" t="s">
        <v>37</v>
      </c>
      <c r="CF2" s="41" t="s">
        <v>40</v>
      </c>
    </row>
    <row r="3" spans="1:84" x14ac:dyDescent="0.25">
      <c r="A3" s="19"/>
      <c r="B3" s="33"/>
      <c r="C3" s="42"/>
      <c r="D3" s="42"/>
      <c r="E3" s="43" t="s">
        <v>41</v>
      </c>
      <c r="F3" s="43" t="s">
        <v>41</v>
      </c>
      <c r="G3" s="43" t="s">
        <v>41</v>
      </c>
      <c r="H3" s="43" t="s">
        <v>41</v>
      </c>
      <c r="I3" s="44" t="s">
        <v>41</v>
      </c>
      <c r="J3" s="43" t="s">
        <v>41</v>
      </c>
      <c r="K3" s="45" t="s">
        <v>16</v>
      </c>
      <c r="L3" s="25"/>
      <c r="M3" s="46" t="s">
        <v>6</v>
      </c>
      <c r="N3" s="46" t="s">
        <v>7</v>
      </c>
      <c r="O3" s="46" t="s">
        <v>8</v>
      </c>
      <c r="P3" s="46" t="s">
        <v>9</v>
      </c>
      <c r="Q3" s="46" t="s">
        <v>10</v>
      </c>
      <c r="R3" s="47" t="s">
        <v>11</v>
      </c>
      <c r="S3" s="47" t="s">
        <v>16</v>
      </c>
      <c r="T3" s="46" t="s">
        <v>42</v>
      </c>
      <c r="U3" s="48" t="s">
        <v>43</v>
      </c>
      <c r="V3" s="48"/>
      <c r="W3" s="28" t="s">
        <v>44</v>
      </c>
      <c r="X3" s="28" t="s">
        <v>45</v>
      </c>
      <c r="Y3" s="28" t="s">
        <v>46</v>
      </c>
      <c r="Z3" s="28" t="s">
        <v>47</v>
      </c>
      <c r="AA3" s="28" t="s">
        <v>48</v>
      </c>
      <c r="AB3" s="28" t="s">
        <v>48</v>
      </c>
      <c r="AC3" s="28"/>
      <c r="AD3" s="28" t="s">
        <v>49</v>
      </c>
      <c r="AE3" s="49" t="s">
        <v>6</v>
      </c>
      <c r="AF3" s="49" t="s">
        <v>7</v>
      </c>
      <c r="AG3" s="49" t="s">
        <v>8</v>
      </c>
      <c r="AH3" s="49" t="s">
        <v>9</v>
      </c>
      <c r="AI3" s="49" t="s">
        <v>10</v>
      </c>
      <c r="AJ3" s="50" t="s">
        <v>11</v>
      </c>
      <c r="AK3" s="49" t="s">
        <v>50</v>
      </c>
      <c r="AL3" s="19"/>
      <c r="AM3" s="31" t="s">
        <v>51</v>
      </c>
      <c r="AN3" s="31" t="s">
        <v>44</v>
      </c>
      <c r="AO3" s="51" t="s">
        <v>52</v>
      </c>
      <c r="AP3" s="19"/>
      <c r="AQ3" s="52" t="s">
        <v>53</v>
      </c>
      <c r="AR3" s="53" t="s">
        <v>10</v>
      </c>
      <c r="AS3" s="53" t="s">
        <v>11</v>
      </c>
      <c r="AT3" s="19"/>
      <c r="AU3" s="19" t="s">
        <v>45</v>
      </c>
      <c r="AV3" s="19" t="s">
        <v>46</v>
      </c>
      <c r="AW3" s="19" t="s">
        <v>47</v>
      </c>
      <c r="AX3" s="19"/>
      <c r="AY3" s="19"/>
      <c r="AZ3" s="54" t="s">
        <v>52</v>
      </c>
      <c r="BA3" s="19"/>
      <c r="BB3" s="54" t="s">
        <v>52</v>
      </c>
      <c r="BC3" s="54" t="s">
        <v>52</v>
      </c>
      <c r="BD3" s="54" t="s">
        <v>52</v>
      </c>
      <c r="BE3" s="54" t="s">
        <v>52</v>
      </c>
      <c r="BF3" s="51" t="s">
        <v>54</v>
      </c>
      <c r="BG3" s="19"/>
      <c r="BH3" s="19" t="s">
        <v>55</v>
      </c>
      <c r="BI3" s="35" t="s">
        <v>56</v>
      </c>
      <c r="BJ3" s="35" t="s">
        <v>57</v>
      </c>
      <c r="BK3" s="35" t="s">
        <v>58</v>
      </c>
      <c r="BL3" s="35" t="s">
        <v>58</v>
      </c>
      <c r="BM3" s="36" t="s">
        <v>59</v>
      </c>
      <c r="BN3" s="36" t="s">
        <v>60</v>
      </c>
      <c r="BO3" s="36" t="s">
        <v>61</v>
      </c>
      <c r="BP3" s="36" t="s">
        <v>61</v>
      </c>
      <c r="BQ3" s="19"/>
      <c r="BR3" s="19" t="s">
        <v>62</v>
      </c>
      <c r="BS3" s="19" t="s">
        <v>63</v>
      </c>
      <c r="BT3" s="19" t="s">
        <v>64</v>
      </c>
      <c r="BU3" s="19" t="s">
        <v>65</v>
      </c>
      <c r="BV3" s="19" t="s">
        <v>66</v>
      </c>
      <c r="BW3" s="19" t="s">
        <v>67</v>
      </c>
      <c r="BX3" s="19" t="s">
        <v>68</v>
      </c>
      <c r="BY3" s="19"/>
      <c r="BZ3" s="37"/>
      <c r="CA3" s="38" t="s">
        <v>69</v>
      </c>
      <c r="CB3" s="55">
        <v>2020</v>
      </c>
      <c r="CC3" s="40"/>
      <c r="CD3" s="41" t="s">
        <v>69</v>
      </c>
      <c r="CE3" s="56">
        <v>2021</v>
      </c>
      <c r="CF3" s="56"/>
    </row>
    <row r="4" spans="1:84" x14ac:dyDescent="0.25">
      <c r="A4" s="57">
        <v>208</v>
      </c>
      <c r="B4" s="58"/>
      <c r="C4" s="59">
        <v>33760</v>
      </c>
      <c r="D4" s="58" t="s">
        <v>70</v>
      </c>
      <c r="E4" s="60"/>
      <c r="F4" s="61">
        <v>112.25</v>
      </c>
      <c r="G4" s="61">
        <v>137</v>
      </c>
      <c r="H4" s="61">
        <v>169.75</v>
      </c>
      <c r="I4" s="61">
        <v>176</v>
      </c>
      <c r="J4" s="61"/>
      <c r="K4" s="62">
        <f>E4+F4+G4+H4+I4+J4</f>
        <v>595</v>
      </c>
      <c r="L4" s="25"/>
      <c r="M4" s="63">
        <v>0</v>
      </c>
      <c r="N4" s="63">
        <v>24</v>
      </c>
      <c r="O4" s="63">
        <v>31</v>
      </c>
      <c r="P4" s="63">
        <v>29</v>
      </c>
      <c r="Q4" s="63">
        <v>31</v>
      </c>
      <c r="R4" s="63">
        <v>13</v>
      </c>
      <c r="S4" s="64">
        <f>SUM(F4:J4)</f>
        <v>595</v>
      </c>
      <c r="T4" s="65">
        <f>M4+N4+O4+P4+Q4+R4</f>
        <v>128</v>
      </c>
      <c r="U4" s="66">
        <v>21.25</v>
      </c>
      <c r="V4" s="67">
        <f>S4*U4</f>
        <v>12643.75</v>
      </c>
      <c r="W4" s="68">
        <f>T4/7*40.666</f>
        <v>743.60685714285705</v>
      </c>
      <c r="X4" s="68">
        <f>S4</f>
        <v>595</v>
      </c>
      <c r="Y4" s="68">
        <f>X4-W4</f>
        <v>-148.60685714285705</v>
      </c>
      <c r="Z4" s="68">
        <f>Y4/4</f>
        <v>-37.151714285714263</v>
      </c>
      <c r="AA4" s="64">
        <f>V4*8.33/100</f>
        <v>1053.224375</v>
      </c>
      <c r="AB4" s="64">
        <f>(V4+AA4)/100*8.33</f>
        <v>1140.9579654375</v>
      </c>
      <c r="AC4" s="64"/>
      <c r="AD4" s="64">
        <f>U4/4</f>
        <v>5.3125</v>
      </c>
      <c r="AE4" s="69"/>
      <c r="AF4" s="69">
        <v>16</v>
      </c>
      <c r="AG4" s="69">
        <v>31</v>
      </c>
      <c r="AH4" s="69">
        <v>28</v>
      </c>
      <c r="AI4" s="69">
        <v>31</v>
      </c>
      <c r="AJ4" s="69"/>
      <c r="AK4" s="70">
        <f>AE4+AF4+AG4+AH4+AI4+AJ4</f>
        <v>106</v>
      </c>
      <c r="AL4" s="71"/>
      <c r="AM4" s="72">
        <v>1</v>
      </c>
      <c r="AN4" s="73">
        <f>AK4/7*40.666*AM4</f>
        <v>615.79942857142851</v>
      </c>
      <c r="AO4" s="74">
        <f t="shared" ref="AO4:AO9" si="0">K4-AN4</f>
        <v>-20.799428571428507</v>
      </c>
      <c r="AP4" s="75"/>
      <c r="AQ4" s="76"/>
      <c r="AR4" s="77">
        <v>88.05</v>
      </c>
      <c r="AS4" s="77">
        <v>129.13999999999999</v>
      </c>
      <c r="AT4" s="25"/>
      <c r="AU4" s="75">
        <f>K4</f>
        <v>595</v>
      </c>
      <c r="AV4" s="75">
        <f>IF((AU4-AN4)&lt;0,0,AU4-AN4)</f>
        <v>0</v>
      </c>
      <c r="AW4" s="75">
        <f>AV4/4</f>
        <v>0</v>
      </c>
      <c r="AX4" s="1"/>
      <c r="AY4" s="1"/>
      <c r="AZ4" s="1">
        <f t="shared" ref="AZ4:AZ9" si="1">(E4+F4)-((AE4+AF4)/7*40.66*AM4)</f>
        <v>19.312857142857155</v>
      </c>
      <c r="BA4" s="1"/>
      <c r="BB4" s="1">
        <f t="shared" ref="BB4:BB9" si="2">(G4)-((AG4)/7*40.66*AM4)</f>
        <v>-43.065714285714279</v>
      </c>
      <c r="BC4" s="1">
        <f t="shared" ref="BC4:BC9" si="3">(H4)-((AH4)/7*40.66*AM4)</f>
        <v>7.1100000000000136</v>
      </c>
      <c r="BD4" s="1">
        <f t="shared" ref="BD4:BD9" si="4">(I4)-((AI4)/7*40.66*AM4)</f>
        <v>-4.0657142857142787</v>
      </c>
      <c r="BE4" s="1">
        <f t="shared" ref="BE4:BE9" si="5">(J4)-((AJ4)/7*40.66*AM4)</f>
        <v>0</v>
      </c>
      <c r="BF4" s="74">
        <f>IF(AM4&lt;1,0,(K4)-AN4)</f>
        <v>-20.799428571428507</v>
      </c>
      <c r="BG4" s="1"/>
      <c r="BH4" s="1">
        <v>23.8</v>
      </c>
      <c r="BI4" s="1"/>
      <c r="BJ4" s="1"/>
      <c r="BK4" s="1"/>
      <c r="BL4" s="1">
        <f>BK4*BH4</f>
        <v>0</v>
      </c>
      <c r="BM4" s="1"/>
      <c r="BN4" s="1">
        <v>894.1</v>
      </c>
      <c r="BO4" s="1"/>
      <c r="BP4" s="1">
        <f>BO4*BH4*0.8</f>
        <v>0</v>
      </c>
      <c r="BQ4" s="1"/>
      <c r="BR4" s="1">
        <f>E4*BH4</f>
        <v>0</v>
      </c>
      <c r="BS4" s="1">
        <f>F4*BH4</f>
        <v>2671.55</v>
      </c>
      <c r="BT4" s="1">
        <f>G4*BH4</f>
        <v>3260.6</v>
      </c>
      <c r="BU4" s="1">
        <f>H4*BH4</f>
        <v>4040.05</v>
      </c>
      <c r="BV4" s="1">
        <f>I4*BH4</f>
        <v>4188.8</v>
      </c>
      <c r="BW4" s="1">
        <f>J4*BH4</f>
        <v>0</v>
      </c>
      <c r="BX4" s="1">
        <f>SUM(BR4:BW4)</f>
        <v>14161</v>
      </c>
      <c r="BY4" s="1"/>
      <c r="BZ4" s="78">
        <f t="shared" ref="BZ4:BZ9" si="6">$BZ$1-C4</f>
        <v>10801</v>
      </c>
      <c r="CA4" s="79">
        <f>CHOOSE(MATCH(E4,{0;21;50;60},1),0.1064,0.0833,0.1064,0.1304)</f>
        <v>0.10639999999999999</v>
      </c>
      <c r="CB4" s="80">
        <f t="shared" ref="CB4:CB9" si="7">(BI4+BR4+BM4+BS4)*CA4</f>
        <v>284.25292000000002</v>
      </c>
      <c r="CC4" s="78">
        <f>$CC$1-C4</f>
        <v>11166</v>
      </c>
      <c r="CD4" s="81">
        <v>8.3299999999999999E-2</v>
      </c>
      <c r="CE4" s="82">
        <f>(BT4+BU4+BV4+BW4+BJ4+BN4+BL4+BP4)*CD4</f>
        <v>1031.5497150000001</v>
      </c>
      <c r="CF4" s="83">
        <f>CB4+CE4</f>
        <v>1315.802635</v>
      </c>
    </row>
    <row r="5" spans="1:84" x14ac:dyDescent="0.25">
      <c r="A5" s="57">
        <v>261</v>
      </c>
      <c r="B5" s="58"/>
      <c r="C5" s="59">
        <v>32917</v>
      </c>
      <c r="D5" s="58" t="s">
        <v>70</v>
      </c>
      <c r="E5" s="60"/>
      <c r="F5" s="61">
        <v>96</v>
      </c>
      <c r="G5" s="61">
        <v>193.75</v>
      </c>
      <c r="H5" s="61">
        <v>169.25</v>
      </c>
      <c r="I5" s="61">
        <v>184</v>
      </c>
      <c r="J5" s="61"/>
      <c r="K5" s="62">
        <f t="shared" ref="K5:K9" si="8">E5+F5+G5+H5+I5+J5</f>
        <v>643</v>
      </c>
      <c r="L5" s="25"/>
      <c r="M5" s="63"/>
      <c r="N5" s="63"/>
      <c r="O5" s="63"/>
      <c r="P5" s="63"/>
      <c r="Q5" s="63"/>
      <c r="R5" s="63"/>
      <c r="S5" s="64"/>
      <c r="T5" s="65"/>
      <c r="U5" s="66"/>
      <c r="V5" s="67"/>
      <c r="W5" s="68"/>
      <c r="X5" s="68"/>
      <c r="Y5" s="68"/>
      <c r="Z5" s="68"/>
      <c r="AA5" s="64"/>
      <c r="AB5" s="64"/>
      <c r="AC5" s="64"/>
      <c r="AD5" s="64"/>
      <c r="AE5" s="84"/>
      <c r="AF5" s="84">
        <v>16</v>
      </c>
      <c r="AG5" s="84">
        <v>31</v>
      </c>
      <c r="AH5" s="84">
        <v>28</v>
      </c>
      <c r="AI5" s="69">
        <v>31</v>
      </c>
      <c r="AJ5" s="84"/>
      <c r="AK5" s="70">
        <f t="shared" ref="AK5:AK9" si="9">AE5+AF5+AG5+AH5+AI5+AJ5</f>
        <v>106</v>
      </c>
      <c r="AL5" s="71"/>
      <c r="AM5" s="72">
        <v>1</v>
      </c>
      <c r="AN5" s="73">
        <f t="shared" ref="AN5:AN9" si="10">AK5/7*40.666*AM5</f>
        <v>615.79942857142851</v>
      </c>
      <c r="AO5" s="74">
        <f t="shared" si="0"/>
        <v>27.200571428571493</v>
      </c>
      <c r="AP5" s="85"/>
      <c r="AQ5" s="86"/>
      <c r="AR5" s="77"/>
      <c r="AS5" s="77"/>
      <c r="AT5" s="25"/>
      <c r="AU5" s="75"/>
      <c r="AV5" s="75"/>
      <c r="AW5" s="75"/>
      <c r="AX5" s="1"/>
      <c r="AY5" s="1"/>
      <c r="AZ5" s="1">
        <f t="shared" si="1"/>
        <v>3.0628571428571547</v>
      </c>
      <c r="BA5" s="1"/>
      <c r="BB5" s="1">
        <f t="shared" si="2"/>
        <v>13.684285714285721</v>
      </c>
      <c r="BC5" s="1">
        <f t="shared" si="3"/>
        <v>6.6100000000000136</v>
      </c>
      <c r="BD5" s="1">
        <f t="shared" si="4"/>
        <v>3.9342857142857213</v>
      </c>
      <c r="BE5" s="1">
        <f t="shared" si="5"/>
        <v>0</v>
      </c>
      <c r="BF5" s="74">
        <f t="shared" ref="BF5:BF9" si="11">IF(AM5&lt;1,0,(K5)-AN5)</f>
        <v>27.200571428571493</v>
      </c>
      <c r="BG5" s="1"/>
      <c r="BH5" s="1">
        <v>20.6</v>
      </c>
      <c r="BI5" s="1"/>
      <c r="BJ5" s="1"/>
      <c r="BK5" s="1"/>
      <c r="BL5" s="1">
        <f t="shared" ref="BL5:BL9" si="12">BK5*BH5</f>
        <v>0</v>
      </c>
      <c r="BM5" s="1"/>
      <c r="BN5" s="1">
        <v>267.95</v>
      </c>
      <c r="BO5" s="1"/>
      <c r="BP5" s="1">
        <f t="shared" ref="BP5:BP9" si="13">BO5*BH5*0.8</f>
        <v>0</v>
      </c>
      <c r="BQ5" s="1"/>
      <c r="BR5" s="1">
        <f t="shared" ref="BR5:BR9" si="14">E5*BH5</f>
        <v>0</v>
      </c>
      <c r="BS5" s="1">
        <f t="shared" ref="BS5:BS9" si="15">F5*BH5</f>
        <v>1977.6000000000001</v>
      </c>
      <c r="BT5" s="1">
        <f t="shared" ref="BT5:BT9" si="16">G5*BH5</f>
        <v>3991.2500000000005</v>
      </c>
      <c r="BU5" s="1">
        <f t="shared" ref="BU5:BU9" si="17">H5*BH5</f>
        <v>3486.55</v>
      </c>
      <c r="BV5" s="1">
        <f t="shared" ref="BV5:BV9" si="18">I5*BH5</f>
        <v>3790.4</v>
      </c>
      <c r="BW5" s="1">
        <f t="shared" ref="BW5:BW9" si="19">J5*BH5</f>
        <v>0</v>
      </c>
      <c r="BX5" s="1">
        <f t="shared" ref="BX5:BX9" si="20">SUM(BR5:BW5)</f>
        <v>13245.800000000001</v>
      </c>
      <c r="BY5" s="1"/>
      <c r="BZ5" s="78">
        <f t="shared" si="6"/>
        <v>11644</v>
      </c>
      <c r="CA5" s="79">
        <f>CHOOSE(MATCH(E5,{0;21;50;60},1),0.1064,0.0833,0.1064,0.1304)</f>
        <v>0.10639999999999999</v>
      </c>
      <c r="CB5" s="80">
        <f t="shared" si="7"/>
        <v>210.41664</v>
      </c>
      <c r="CC5" s="78">
        <f t="shared" ref="CC5:CC9" si="21">$CC$1-C5</f>
        <v>12009</v>
      </c>
      <c r="CD5" s="81">
        <v>8.3299999999999999E-2</v>
      </c>
      <c r="CE5" s="82">
        <f t="shared" ref="CE5:CE9" si="22">(BT5+BU5+BV5+BW5+BJ5+BN5+BL5+BP5)*CD5</f>
        <v>960.96129500000006</v>
      </c>
      <c r="CF5" s="83">
        <f t="shared" ref="CF5:CF9" si="23">CB5+CE5</f>
        <v>1171.377935</v>
      </c>
    </row>
    <row r="6" spans="1:84" x14ac:dyDescent="0.25">
      <c r="A6" s="57">
        <v>210</v>
      </c>
      <c r="B6" s="58"/>
      <c r="C6" s="59">
        <v>23180</v>
      </c>
      <c r="D6" s="58" t="s">
        <v>71</v>
      </c>
      <c r="E6" s="60"/>
      <c r="F6" s="61">
        <v>112</v>
      </c>
      <c r="G6" s="61">
        <v>172</v>
      </c>
      <c r="H6" s="61">
        <v>158</v>
      </c>
      <c r="I6" s="61">
        <v>203.5</v>
      </c>
      <c r="J6" s="61"/>
      <c r="K6" s="62">
        <f t="shared" si="8"/>
        <v>645.5</v>
      </c>
      <c r="L6" s="25"/>
      <c r="M6" s="63">
        <v>0</v>
      </c>
      <c r="N6" s="63">
        <v>15</v>
      </c>
      <c r="O6" s="63">
        <v>31</v>
      </c>
      <c r="P6" s="63">
        <v>29</v>
      </c>
      <c r="Q6" s="63">
        <v>31</v>
      </c>
      <c r="R6" s="63">
        <v>13</v>
      </c>
      <c r="S6" s="64">
        <f>SUM(F6:J6)</f>
        <v>645.5</v>
      </c>
      <c r="T6" s="65">
        <f>M6+N6+O6+P6+Q6+R6</f>
        <v>119</v>
      </c>
      <c r="U6" s="66">
        <v>23.3</v>
      </c>
      <c r="V6" s="67">
        <f>S6*U6</f>
        <v>15040.15</v>
      </c>
      <c r="W6" s="68">
        <f>T6/7*40.666</f>
        <v>691.32199999999989</v>
      </c>
      <c r="X6" s="68">
        <f>S6</f>
        <v>645.5</v>
      </c>
      <c r="Y6" s="68">
        <f>X6-W6</f>
        <v>-45.821999999999889</v>
      </c>
      <c r="Z6" s="68">
        <f>Y6/4</f>
        <v>-11.455499999999972</v>
      </c>
      <c r="AA6" s="64">
        <f>V6*8.33/100</f>
        <v>1252.8444950000001</v>
      </c>
      <c r="AB6" s="64">
        <f>(V6+AA6)/100*8.33</f>
        <v>1357.2064414335</v>
      </c>
      <c r="AC6" s="64"/>
      <c r="AD6" s="64">
        <f>U6/4</f>
        <v>5.8250000000000002</v>
      </c>
      <c r="AE6" s="84"/>
      <c r="AF6" s="84">
        <v>15</v>
      </c>
      <c r="AG6" s="84">
        <v>31</v>
      </c>
      <c r="AH6" s="84">
        <v>28</v>
      </c>
      <c r="AI6" s="69">
        <v>31</v>
      </c>
      <c r="AJ6" s="84"/>
      <c r="AK6" s="70">
        <f t="shared" si="9"/>
        <v>105</v>
      </c>
      <c r="AL6" s="71"/>
      <c r="AM6" s="72">
        <v>1</v>
      </c>
      <c r="AN6" s="73">
        <f t="shared" si="10"/>
        <v>609.99</v>
      </c>
      <c r="AO6" s="74">
        <f t="shared" si="0"/>
        <v>35.509999999999991</v>
      </c>
      <c r="AP6" s="85"/>
      <c r="AQ6" s="86">
        <f>11+25+24+9</f>
        <v>69</v>
      </c>
      <c r="AR6" s="77">
        <v>88.05</v>
      </c>
      <c r="AS6" s="77">
        <v>129.13999999999999</v>
      </c>
      <c r="AT6" s="25"/>
      <c r="AU6" s="75">
        <f t="shared" ref="AU6:AU9" si="24">K6</f>
        <v>645.5</v>
      </c>
      <c r="AV6" s="75">
        <f>IF((AU6-AN6)&lt;0,0,AU6-AN6)</f>
        <v>35.509999999999991</v>
      </c>
      <c r="AW6" s="75">
        <f t="shared" ref="AW6:AW9" si="25">AV6/4</f>
        <v>8.8774999999999977</v>
      </c>
      <c r="AX6" s="1"/>
      <c r="AY6" s="1"/>
      <c r="AZ6" s="1">
        <f t="shared" si="1"/>
        <v>24.871428571428581</v>
      </c>
      <c r="BA6" s="1"/>
      <c r="BB6" s="1">
        <f t="shared" si="2"/>
        <v>-8.0657142857142787</v>
      </c>
      <c r="BC6" s="1">
        <f t="shared" si="3"/>
        <v>-4.6399999999999864</v>
      </c>
      <c r="BD6" s="1">
        <f t="shared" si="4"/>
        <v>23.434285714285721</v>
      </c>
      <c r="BE6" s="1">
        <f t="shared" si="5"/>
        <v>0</v>
      </c>
      <c r="BF6" s="74">
        <f t="shared" si="11"/>
        <v>35.509999999999991</v>
      </c>
      <c r="BG6" s="1"/>
      <c r="BH6" s="1">
        <v>30</v>
      </c>
      <c r="BI6" s="1">
        <v>330</v>
      </c>
      <c r="BJ6" s="1">
        <v>2100</v>
      </c>
      <c r="BK6" s="1"/>
      <c r="BL6" s="1">
        <f>BK6*BH6</f>
        <v>0</v>
      </c>
      <c r="BM6" s="1"/>
      <c r="BN6" s="1"/>
      <c r="BO6" s="1"/>
      <c r="BP6" s="1">
        <f t="shared" si="13"/>
        <v>0</v>
      </c>
      <c r="BQ6" s="1"/>
      <c r="BR6" s="1">
        <f t="shared" si="14"/>
        <v>0</v>
      </c>
      <c r="BS6" s="1">
        <f t="shared" si="15"/>
        <v>3360</v>
      </c>
      <c r="BT6" s="1">
        <f t="shared" si="16"/>
        <v>5160</v>
      </c>
      <c r="BU6" s="1">
        <f t="shared" si="17"/>
        <v>4740</v>
      </c>
      <c r="BV6" s="1">
        <f t="shared" si="18"/>
        <v>6105</v>
      </c>
      <c r="BW6" s="1">
        <f t="shared" si="19"/>
        <v>0</v>
      </c>
      <c r="BX6" s="1">
        <f t="shared" si="20"/>
        <v>19365</v>
      </c>
      <c r="BY6" s="1"/>
      <c r="BZ6" s="78">
        <f t="shared" si="6"/>
        <v>21381</v>
      </c>
      <c r="CA6" s="79">
        <f>CHOOSE(MATCH(E6,{0;21;50;60},1),0.1064,0.0833,0.1064,0.1304)</f>
        <v>0.10639999999999999</v>
      </c>
      <c r="CB6" s="80">
        <f t="shared" si="7"/>
        <v>392.61599999999999</v>
      </c>
      <c r="CC6" s="78">
        <f t="shared" si="21"/>
        <v>21746</v>
      </c>
      <c r="CD6" s="81">
        <v>0.10639999999999999</v>
      </c>
      <c r="CE6" s="82">
        <f t="shared" si="22"/>
        <v>1926.3719999999998</v>
      </c>
      <c r="CF6" s="83">
        <f t="shared" si="23"/>
        <v>2318.9879999999998</v>
      </c>
    </row>
    <row r="7" spans="1:84" x14ac:dyDescent="0.25">
      <c r="A7" s="57">
        <v>211</v>
      </c>
      <c r="B7" s="58"/>
      <c r="C7" s="59">
        <v>26355</v>
      </c>
      <c r="D7" s="58" t="s">
        <v>70</v>
      </c>
      <c r="E7" s="60"/>
      <c r="F7" s="61">
        <v>34</v>
      </c>
      <c r="G7" s="61">
        <v>75</v>
      </c>
      <c r="H7" s="61">
        <v>70</v>
      </c>
      <c r="I7" s="61">
        <v>75</v>
      </c>
      <c r="J7" s="61"/>
      <c r="K7" s="62">
        <f t="shared" si="8"/>
        <v>254</v>
      </c>
      <c r="L7" s="25"/>
      <c r="M7" s="63"/>
      <c r="N7" s="63"/>
      <c r="O7" s="63"/>
      <c r="P7" s="63"/>
      <c r="Q7" s="63"/>
      <c r="R7" s="63"/>
      <c r="S7" s="64">
        <f>SUM(F7:J7)</f>
        <v>254</v>
      </c>
      <c r="T7" s="65"/>
      <c r="U7" s="66"/>
      <c r="V7" s="67"/>
      <c r="W7" s="68"/>
      <c r="X7" s="68">
        <f>S7</f>
        <v>254</v>
      </c>
      <c r="Y7" s="68"/>
      <c r="Z7" s="68"/>
      <c r="AA7" s="64"/>
      <c r="AB7" s="64"/>
      <c r="AC7" s="64"/>
      <c r="AD7" s="64"/>
      <c r="AE7" s="84"/>
      <c r="AF7" s="84">
        <v>16</v>
      </c>
      <c r="AG7" s="84">
        <v>31</v>
      </c>
      <c r="AH7" s="84">
        <v>28</v>
      </c>
      <c r="AI7" s="69">
        <v>31</v>
      </c>
      <c r="AJ7" s="84"/>
      <c r="AK7" s="70">
        <f t="shared" si="9"/>
        <v>106</v>
      </c>
      <c r="AL7" s="71"/>
      <c r="AM7" s="72">
        <v>0.4</v>
      </c>
      <c r="AN7" s="73">
        <f t="shared" si="10"/>
        <v>246.31977142857141</v>
      </c>
      <c r="AO7" s="74">
        <f t="shared" si="0"/>
        <v>7.6802285714285858</v>
      </c>
      <c r="AP7" s="75"/>
      <c r="AQ7" s="86"/>
      <c r="AR7" s="77">
        <v>44.024999999999999</v>
      </c>
      <c r="AS7" s="77">
        <v>64.569999999999993</v>
      </c>
      <c r="AT7" s="25"/>
      <c r="AU7" s="75">
        <f t="shared" si="24"/>
        <v>254</v>
      </c>
      <c r="AV7" s="75">
        <f>IF((AU7-AN7)&lt;0,0,AU7-AN7)</f>
        <v>7.6802285714285858</v>
      </c>
      <c r="AW7" s="75">
        <f t="shared" si="25"/>
        <v>1.9200571428571465</v>
      </c>
      <c r="AX7" s="1"/>
      <c r="AY7" s="1"/>
      <c r="AZ7" s="1">
        <f t="shared" si="1"/>
        <v>-3.1748571428571424</v>
      </c>
      <c r="BA7" s="1"/>
      <c r="BB7" s="1">
        <f t="shared" si="2"/>
        <v>2.97371428571428</v>
      </c>
      <c r="BC7" s="1">
        <f t="shared" si="3"/>
        <v>4.9440000000000026</v>
      </c>
      <c r="BD7" s="1">
        <f t="shared" si="4"/>
        <v>2.97371428571428</v>
      </c>
      <c r="BE7" s="1">
        <f t="shared" si="5"/>
        <v>0</v>
      </c>
      <c r="BF7" s="74">
        <f t="shared" si="11"/>
        <v>0</v>
      </c>
      <c r="BG7" s="1"/>
      <c r="BH7" s="1">
        <v>23.8</v>
      </c>
      <c r="BI7" s="1"/>
      <c r="BJ7" s="1"/>
      <c r="BK7" s="1"/>
      <c r="BL7" s="1">
        <f t="shared" si="12"/>
        <v>0</v>
      </c>
      <c r="BM7" s="1"/>
      <c r="BN7" s="1"/>
      <c r="BO7" s="1"/>
      <c r="BP7" s="1">
        <f t="shared" si="13"/>
        <v>0</v>
      </c>
      <c r="BQ7" s="1"/>
      <c r="BR7" s="1">
        <f t="shared" si="14"/>
        <v>0</v>
      </c>
      <c r="BS7" s="1">
        <f t="shared" si="15"/>
        <v>809.2</v>
      </c>
      <c r="BT7" s="1">
        <f t="shared" si="16"/>
        <v>1785</v>
      </c>
      <c r="BU7" s="1">
        <f t="shared" si="17"/>
        <v>1666</v>
      </c>
      <c r="BV7" s="1">
        <f t="shared" si="18"/>
        <v>1785</v>
      </c>
      <c r="BW7" s="1">
        <f t="shared" si="19"/>
        <v>0</v>
      </c>
      <c r="BX7" s="1">
        <f t="shared" si="20"/>
        <v>6045.2</v>
      </c>
      <c r="BY7" s="1"/>
      <c r="BZ7" s="78">
        <f t="shared" si="6"/>
        <v>18206</v>
      </c>
      <c r="CA7" s="79">
        <f>CHOOSE(MATCH(E7,{0;21;50;60},1),0.1064,0.0833,0.1064,0.1304)</f>
        <v>0.10639999999999999</v>
      </c>
      <c r="CB7" s="80">
        <f t="shared" si="7"/>
        <v>86.098879999999994</v>
      </c>
      <c r="CC7" s="78">
        <f t="shared" si="21"/>
        <v>18571</v>
      </c>
      <c r="CD7" s="81">
        <v>8.3299999999999999E-2</v>
      </c>
      <c r="CE7" s="82">
        <f t="shared" si="22"/>
        <v>436.15879999999999</v>
      </c>
      <c r="CF7" s="83">
        <f t="shared" si="23"/>
        <v>522.25767999999994</v>
      </c>
    </row>
    <row r="8" spans="1:84" x14ac:dyDescent="0.25">
      <c r="A8" s="57">
        <v>212</v>
      </c>
      <c r="B8" s="58"/>
      <c r="C8" s="59">
        <v>25377</v>
      </c>
      <c r="D8" s="58" t="s">
        <v>70</v>
      </c>
      <c r="E8" s="60"/>
      <c r="F8" s="61">
        <v>95</v>
      </c>
      <c r="G8" s="61">
        <v>180</v>
      </c>
      <c r="H8" s="61">
        <v>143</v>
      </c>
      <c r="I8" s="61">
        <v>165</v>
      </c>
      <c r="J8" s="61"/>
      <c r="K8" s="62">
        <f t="shared" si="8"/>
        <v>583</v>
      </c>
      <c r="L8" s="25"/>
      <c r="M8" s="63">
        <v>0</v>
      </c>
      <c r="N8" s="63">
        <v>15</v>
      </c>
      <c r="O8" s="63">
        <v>31</v>
      </c>
      <c r="P8" s="63">
        <v>29</v>
      </c>
      <c r="Q8" s="63">
        <v>31</v>
      </c>
      <c r="R8" s="63">
        <v>13</v>
      </c>
      <c r="S8" s="64">
        <f>SUM(E8:J8)</f>
        <v>583</v>
      </c>
      <c r="T8" s="65">
        <f>M8+N8+O8+P8+Q8+R8</f>
        <v>119</v>
      </c>
      <c r="U8" s="66">
        <v>25.05</v>
      </c>
      <c r="V8" s="67">
        <f>S8*U8</f>
        <v>14604.15</v>
      </c>
      <c r="W8" s="68">
        <f>T8/7*40.666</f>
        <v>691.32199999999989</v>
      </c>
      <c r="X8" s="68">
        <f>S8</f>
        <v>583</v>
      </c>
      <c r="Y8" s="68">
        <f>X8-W8</f>
        <v>-108.32199999999989</v>
      </c>
      <c r="Z8" s="68">
        <f>Y8/4</f>
        <v>-27.080499999999972</v>
      </c>
      <c r="AA8" s="64">
        <f>V8*10.64/100</f>
        <v>1553.8815600000003</v>
      </c>
      <c r="AB8" s="64">
        <f>(V8+AA8)/100*8.33</f>
        <v>1345.9640289480001</v>
      </c>
      <c r="AC8" s="64"/>
      <c r="AD8" s="64">
        <f>U8/4</f>
        <v>6.2625000000000002</v>
      </c>
      <c r="AE8" s="84"/>
      <c r="AF8" s="84">
        <v>16</v>
      </c>
      <c r="AG8" s="84">
        <v>31</v>
      </c>
      <c r="AH8" s="84">
        <v>28</v>
      </c>
      <c r="AI8" s="69">
        <v>31</v>
      </c>
      <c r="AJ8" s="84"/>
      <c r="AK8" s="70">
        <f t="shared" si="9"/>
        <v>106</v>
      </c>
      <c r="AL8" s="71"/>
      <c r="AM8" s="72">
        <v>0.8</v>
      </c>
      <c r="AN8" s="73">
        <f t="shared" si="10"/>
        <v>492.63954285714283</v>
      </c>
      <c r="AO8" s="74">
        <f t="shared" si="0"/>
        <v>90.360457142857172</v>
      </c>
      <c r="AP8" s="75"/>
      <c r="AQ8" s="86"/>
      <c r="AR8" s="77">
        <v>74.843000000000004</v>
      </c>
      <c r="AS8" s="77">
        <v>109.76900000000001</v>
      </c>
      <c r="AT8" s="25"/>
      <c r="AU8" s="75">
        <f t="shared" si="24"/>
        <v>583</v>
      </c>
      <c r="AV8" s="75">
        <f>IF((AU8-AN8)&lt;0,0,AU8-AN8)</f>
        <v>90.360457142857172</v>
      </c>
      <c r="AW8" s="75">
        <f t="shared" si="25"/>
        <v>22.590114285714293</v>
      </c>
      <c r="AX8" s="1"/>
      <c r="AY8" s="1"/>
      <c r="AZ8" s="1">
        <f t="shared" si="1"/>
        <v>20.650285714285715</v>
      </c>
      <c r="BA8" s="1"/>
      <c r="BB8" s="1">
        <f t="shared" si="2"/>
        <v>35.94742857142856</v>
      </c>
      <c r="BC8" s="1">
        <f t="shared" si="3"/>
        <v>12.888000000000005</v>
      </c>
      <c r="BD8" s="1">
        <f t="shared" si="4"/>
        <v>20.94742857142856</v>
      </c>
      <c r="BE8" s="1">
        <f t="shared" si="5"/>
        <v>0</v>
      </c>
      <c r="BF8" s="74">
        <f t="shared" si="11"/>
        <v>0</v>
      </c>
      <c r="BG8" s="1"/>
      <c r="BH8" s="1">
        <v>24.8</v>
      </c>
      <c r="BI8" s="1"/>
      <c r="BJ8" s="1"/>
      <c r="BK8" s="1"/>
      <c r="BL8" s="1">
        <f t="shared" si="12"/>
        <v>0</v>
      </c>
      <c r="BM8" s="1"/>
      <c r="BN8" s="1"/>
      <c r="BO8" s="1"/>
      <c r="BP8" s="1">
        <f t="shared" si="13"/>
        <v>0</v>
      </c>
      <c r="BQ8" s="1"/>
      <c r="BR8" s="1">
        <f t="shared" si="14"/>
        <v>0</v>
      </c>
      <c r="BS8" s="1">
        <f t="shared" si="15"/>
        <v>2356</v>
      </c>
      <c r="BT8" s="1">
        <f t="shared" si="16"/>
        <v>4464</v>
      </c>
      <c r="BU8" s="1">
        <f t="shared" si="17"/>
        <v>3546.4</v>
      </c>
      <c r="BV8" s="1">
        <f t="shared" si="18"/>
        <v>4092</v>
      </c>
      <c r="BW8" s="1">
        <f t="shared" si="19"/>
        <v>0</v>
      </c>
      <c r="BX8" s="1">
        <f t="shared" si="20"/>
        <v>14458.4</v>
      </c>
      <c r="BY8" s="1"/>
      <c r="BZ8" s="78">
        <f t="shared" si="6"/>
        <v>19184</v>
      </c>
      <c r="CA8" s="79">
        <f>CHOOSE(MATCH(E8,{0;21;50;60},1),0.1064,0.0833,0.1064,0.1304)</f>
        <v>0.10639999999999999</v>
      </c>
      <c r="CB8" s="80">
        <f t="shared" si="7"/>
        <v>250.67839999999998</v>
      </c>
      <c r="CC8" s="78">
        <f t="shared" si="21"/>
        <v>19549</v>
      </c>
      <c r="CD8" s="81">
        <v>0.10639999999999999</v>
      </c>
      <c r="CE8" s="82">
        <f t="shared" si="22"/>
        <v>1287.6953599999999</v>
      </c>
      <c r="CF8" s="83">
        <f t="shared" si="23"/>
        <v>1538.3737599999999</v>
      </c>
    </row>
    <row r="9" spans="1:84" x14ac:dyDescent="0.25">
      <c r="A9" s="57">
        <v>257</v>
      </c>
      <c r="B9" s="58"/>
      <c r="C9" s="59">
        <v>26753</v>
      </c>
      <c r="D9" s="58" t="s">
        <v>70</v>
      </c>
      <c r="E9" s="60"/>
      <c r="F9" s="61">
        <v>120</v>
      </c>
      <c r="G9" s="61">
        <v>192</v>
      </c>
      <c r="H9" s="61">
        <v>150</v>
      </c>
      <c r="I9" s="61">
        <v>98.5</v>
      </c>
      <c r="J9" s="61"/>
      <c r="K9" s="62">
        <f t="shared" si="8"/>
        <v>560.5</v>
      </c>
      <c r="L9" s="25"/>
      <c r="M9" s="63">
        <v>0</v>
      </c>
      <c r="N9" s="63">
        <v>15</v>
      </c>
      <c r="O9" s="63">
        <v>31</v>
      </c>
      <c r="P9" s="63">
        <v>29</v>
      </c>
      <c r="Q9" s="63">
        <v>20</v>
      </c>
      <c r="R9" s="63">
        <v>13</v>
      </c>
      <c r="S9" s="64">
        <f>SUM(E9:J9)</f>
        <v>560.5</v>
      </c>
      <c r="T9" s="65">
        <f>M9+N9+O9+P9+Q9+R9</f>
        <v>108</v>
      </c>
      <c r="U9" s="66">
        <v>20.8</v>
      </c>
      <c r="V9" s="67">
        <f>S9*U9</f>
        <v>11658.4</v>
      </c>
      <c r="W9" s="68">
        <f>T9/7*40.666</f>
        <v>627.41828571428573</v>
      </c>
      <c r="X9" s="68">
        <f>S9</f>
        <v>560.5</v>
      </c>
      <c r="Y9" s="68">
        <f>X9-W9</f>
        <v>-66.91828571428573</v>
      </c>
      <c r="Z9" s="68">
        <f>Y9/4</f>
        <v>-16.729571428571433</v>
      </c>
      <c r="AA9" s="64">
        <f>V9*8.33/100</f>
        <v>971.14471999999989</v>
      </c>
      <c r="AB9" s="64">
        <f>(V9+AA9)/100*8.33</f>
        <v>1052.041075176</v>
      </c>
      <c r="AC9" s="64"/>
      <c r="AD9" s="64">
        <f>U9/4</f>
        <v>5.2</v>
      </c>
      <c r="AE9" s="84"/>
      <c r="AF9" s="84">
        <v>28</v>
      </c>
      <c r="AG9" s="84">
        <v>31</v>
      </c>
      <c r="AH9" s="84">
        <v>28</v>
      </c>
      <c r="AI9" s="69">
        <v>31</v>
      </c>
      <c r="AJ9" s="84"/>
      <c r="AK9" s="70">
        <f t="shared" si="9"/>
        <v>118</v>
      </c>
      <c r="AL9" s="71"/>
      <c r="AM9" s="72">
        <v>1</v>
      </c>
      <c r="AN9" s="73">
        <f t="shared" si="10"/>
        <v>685.51257142857139</v>
      </c>
      <c r="AO9" s="74">
        <f t="shared" si="0"/>
        <v>-125.01257142857139</v>
      </c>
      <c r="AP9" s="85"/>
      <c r="AQ9" s="86"/>
      <c r="AR9" s="77">
        <v>30.818000000000001</v>
      </c>
      <c r="AS9" s="77">
        <v>45.198999999999998</v>
      </c>
      <c r="AT9" s="25"/>
      <c r="AU9" s="75">
        <f t="shared" si="24"/>
        <v>560.5</v>
      </c>
      <c r="AV9" s="75">
        <f>IF((AU9-AN9)&lt;0,0,AU9-AN9)</f>
        <v>0</v>
      </c>
      <c r="AW9" s="75">
        <f t="shared" si="25"/>
        <v>0</v>
      </c>
      <c r="AX9" s="1"/>
      <c r="AY9" s="1"/>
      <c r="AZ9" s="1">
        <f t="shared" si="1"/>
        <v>-42.639999999999986</v>
      </c>
      <c r="BA9" s="1"/>
      <c r="BB9" s="1">
        <f t="shared" si="2"/>
        <v>11.934285714285721</v>
      </c>
      <c r="BC9" s="1">
        <f t="shared" si="3"/>
        <v>-12.639999999999986</v>
      </c>
      <c r="BD9" s="1">
        <f t="shared" si="4"/>
        <v>-81.565714285714279</v>
      </c>
      <c r="BE9" s="1">
        <f t="shared" si="5"/>
        <v>0</v>
      </c>
      <c r="BF9" s="74">
        <f t="shared" si="11"/>
        <v>-125.01257142857139</v>
      </c>
      <c r="BG9" s="1"/>
      <c r="BH9" s="1">
        <v>20.6</v>
      </c>
      <c r="BI9" s="1"/>
      <c r="BJ9" s="1"/>
      <c r="BK9" s="1"/>
      <c r="BL9" s="1">
        <f t="shared" si="12"/>
        <v>0</v>
      </c>
      <c r="BM9" s="1"/>
      <c r="BN9" s="1">
        <v>670.1</v>
      </c>
      <c r="BO9" s="1"/>
      <c r="BP9" s="1">
        <f t="shared" si="13"/>
        <v>0</v>
      </c>
      <c r="BQ9" s="1"/>
      <c r="BR9" s="1">
        <f t="shared" si="14"/>
        <v>0</v>
      </c>
      <c r="BS9" s="1">
        <f t="shared" si="15"/>
        <v>2472</v>
      </c>
      <c r="BT9" s="1">
        <f t="shared" si="16"/>
        <v>3955.2000000000003</v>
      </c>
      <c r="BU9" s="1">
        <f t="shared" si="17"/>
        <v>3090</v>
      </c>
      <c r="BV9" s="1">
        <f t="shared" si="18"/>
        <v>2029.1000000000001</v>
      </c>
      <c r="BW9" s="1">
        <f t="shared" si="19"/>
        <v>0</v>
      </c>
      <c r="BX9" s="1">
        <f t="shared" si="20"/>
        <v>11546.300000000001</v>
      </c>
      <c r="BY9" s="1"/>
      <c r="BZ9" s="78">
        <f t="shared" si="6"/>
        <v>17808</v>
      </c>
      <c r="CA9" s="79">
        <f>CHOOSE(MATCH(E9,{0;21;50;60},1),0.1064,0.0833,0.1064,0.1304)</f>
        <v>0.10639999999999999</v>
      </c>
      <c r="CB9" s="80">
        <f t="shared" si="7"/>
        <v>263.02080000000001</v>
      </c>
      <c r="CC9" s="78">
        <f t="shared" si="21"/>
        <v>18173</v>
      </c>
      <c r="CD9" s="81">
        <v>8.3299999999999999E-2</v>
      </c>
      <c r="CE9" s="82">
        <f t="shared" si="22"/>
        <v>811.70852000000014</v>
      </c>
      <c r="CF9" s="83">
        <f t="shared" si="23"/>
        <v>1074.7293200000001</v>
      </c>
    </row>
  </sheetData>
  <mergeCells count="2">
    <mergeCell ref="BZ2:BZ3"/>
    <mergeCell ref="CC2:CC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Stolf-Massy Laurence</dc:creator>
  <cp:lastModifiedBy>Stolf-Massy Laurence</cp:lastModifiedBy>
  <dcterms:created xsi:type="dcterms:W3CDTF">2022-04-19T06:44:18Z</dcterms:created>
  <dcterms:modified xsi:type="dcterms:W3CDTF">2022-04-19T06:58:11Z</dcterms:modified>
</cp:coreProperties>
</file>